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.1 NOVA proc. P.S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<sst xmlns="http://schemas.openxmlformats.org/spreadsheetml/2006/main" count="884" uniqueCount="315">
  <si>
    <t xml:space="preserve">R.br.</t>
  </si>
  <si>
    <t xml:space="preserve">Inv.</t>
  </si>
  <si>
    <t xml:space="preserve">God.</t>
  </si>
  <si>
    <t xml:space="preserve">Jedinična</t>
  </si>
  <si>
    <t xml:space="preserve">JM.</t>
  </si>
  <si>
    <t xml:space="preserve">Procjena</t>
  </si>
  <si>
    <t xml:space="preserve">procj.</t>
  </si>
  <si>
    <t xml:space="preserve">MT</t>
  </si>
  <si>
    <t xml:space="preserve">broj</t>
  </si>
  <si>
    <t xml:space="preserve">  Naziv opreme stroja - grupe</t>
  </si>
  <si>
    <t xml:space="preserve">proiz.</t>
  </si>
  <si>
    <t xml:space="preserve">NNV</t>
  </si>
  <si>
    <t xml:space="preserve">Ukupno</t>
  </si>
  <si>
    <t xml:space="preserve">god.</t>
  </si>
  <si>
    <t xml:space="preserve">KN./kom.</t>
  </si>
  <si>
    <t xml:space="preserve">kom.</t>
  </si>
  <si>
    <t xml:space="preserve">KN.</t>
  </si>
  <si>
    <t xml:space="preserve">F001</t>
  </si>
  <si>
    <r>
      <rPr>
        <sz val="10"/>
        <rFont val="Arial"/>
        <family val="2"/>
        <charset val="238"/>
      </rPr>
      <t xml:space="preserve">PORT REPLIKATOR </t>
    </r>
    <r>
      <rPr>
        <sz val="8"/>
        <rFont val="Arial"/>
        <family val="2"/>
        <charset val="238"/>
      </rPr>
      <t xml:space="preserve">za Notebook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</si>
  <si>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8300 ELITE CZC318698P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</si>
  <si>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KOREL - DUAL</t>
    </r>
  </si>
  <si>
    <t xml:space="preserve">F711</t>
  </si>
  <si>
    <r>
      <rPr>
        <sz val="10"/>
        <rFont val="Arial"/>
        <family val="2"/>
        <charset val="238"/>
      </rPr>
      <t xml:space="preserve">VAGONET, plato  </t>
    </r>
    <r>
      <rPr>
        <sz val="8"/>
        <rFont val="Arial"/>
        <family val="2"/>
        <charset val="238"/>
      </rPr>
      <t xml:space="preserve">(Novi MID + Stari DMP)</t>
    </r>
  </si>
  <si>
    <t xml:space="preserve">nep.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</si>
  <si>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HP, ELITE DISPLAY E231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</si>
  <si>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DAIKIN, FTX35JB1B</t>
    </r>
  </si>
  <si>
    <t xml:space="preserve">PC + MONITOR</t>
  </si>
  <si>
    <t xml:space="preserve">STOL, konferencijski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</si>
  <si>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1247/MR</t>
    </r>
  </si>
  <si>
    <r>
      <rPr>
        <sz val="10"/>
        <rFont val="Arial"/>
        <family val="2"/>
        <charset val="238"/>
      </rPr>
      <t xml:space="preserve">UNIŠTAVAČ dokumenata, </t>
    </r>
    <r>
      <rPr>
        <sz val="8"/>
        <rFont val="Arial"/>
        <family val="2"/>
        <charset val="238"/>
      </rPr>
      <t xml:space="preserve">TAROS, 25.10 SC</t>
    </r>
  </si>
  <si>
    <t xml:space="preserve">TELEFAX, Canon, L-160</t>
  </si>
  <si>
    <r>
      <rPr>
        <sz val="10"/>
        <rFont val="Arial"/>
        <family val="2"/>
        <charset val="238"/>
      </rPr>
      <t xml:space="preserve">MULTIFUN. UREĐAJ PRN, </t>
    </r>
    <r>
      <rPr>
        <sz val="8"/>
        <rFont val="Arial"/>
        <family val="2"/>
        <charset val="238"/>
      </rPr>
      <t xml:space="preserve">HP, LaserJet PRO MFP</t>
    </r>
  </si>
  <si>
    <t xml:space="preserve">F190</t>
  </si>
  <si>
    <t xml:space="preserve">GARDEROBNI ORMAR</t>
  </si>
  <si>
    <t xml:space="preserve">ORMAR, drveni</t>
  </si>
  <si>
    <t xml:space="preserve">SURGRAFIC RECORDER</t>
  </si>
  <si>
    <r>
      <rPr>
        <sz val="10"/>
        <rFont val="Arial"/>
        <family val="2"/>
        <charset val="238"/>
      </rPr>
      <t xml:space="preserve">PARAMETAR, </t>
    </r>
    <r>
      <rPr>
        <sz val="8"/>
        <rFont val="Arial"/>
        <family val="2"/>
        <charset val="238"/>
      </rPr>
      <t xml:space="preserve">MODULE TAYLOR-HOBSON</t>
    </r>
  </si>
  <si>
    <r>
      <rPr>
        <sz val="10"/>
        <rFont val="Arial"/>
        <family val="2"/>
        <charset val="238"/>
      </rPr>
      <t xml:space="preserve">RIGHT ANGLE, </t>
    </r>
    <r>
      <rPr>
        <sz val="9"/>
        <rFont val="Arial"/>
        <family val="2"/>
        <charset val="238"/>
      </rPr>
      <t xml:space="preserve">PICK-UP 112/1505</t>
    </r>
  </si>
  <si>
    <r>
      <rPr>
        <sz val="10"/>
        <rFont val="Arial"/>
        <family val="2"/>
        <charset val="238"/>
      </rPr>
      <t xml:space="preserve">RECES, </t>
    </r>
    <r>
      <rPr>
        <sz val="9"/>
        <rFont val="Arial"/>
        <family val="2"/>
        <charset val="238"/>
      </rPr>
      <t xml:space="preserve">PICK-UP 1124/1506</t>
    </r>
  </si>
  <si>
    <t xml:space="preserve">PICK-UP WITH SIDE SKID 112/1531</t>
  </si>
  <si>
    <t xml:space="preserve">PICK-UP WITH SHOE 112/1599</t>
  </si>
  <si>
    <t xml:space="preserve">PISAĆI STOL</t>
  </si>
  <si>
    <t xml:space="preserve">STALAŽA, drvena, za arhivu</t>
  </si>
  <si>
    <t xml:space="preserve">STOL PISAĆI</t>
  </si>
  <si>
    <t xml:space="preserve">KLIMA UREĐAJ, Vaillant  PRO 035</t>
  </si>
  <si>
    <t xml:space="preserve">GARDEROBNI ORMAR, drveni</t>
  </si>
  <si>
    <t xml:space="preserve">STALAŽA s policama</t>
  </si>
  <si>
    <r>
      <rPr>
        <sz val="10"/>
        <rFont val="Arial"/>
        <family val="2"/>
        <charset val="238"/>
      </rPr>
      <t xml:space="preserve">ORMAR, drveni, 2-krilni </t>
    </r>
    <r>
      <rPr>
        <sz val="8"/>
        <rFont val="Arial"/>
        <family val="2"/>
        <charset val="238"/>
      </rPr>
      <t xml:space="preserve">(stari Br.1448)</t>
    </r>
  </si>
  <si>
    <t xml:space="preserve">ORMARIĆ, kuhinjski, veći</t>
  </si>
  <si>
    <t xml:space="preserve">ORMARIĆ, kuhinjski, podni</t>
  </si>
  <si>
    <t xml:space="preserve">VJEŠALICA, drvena, zidna, velika</t>
  </si>
  <si>
    <t xml:space="preserve">STALAŽA za registratore</t>
  </si>
  <si>
    <t xml:space="preserve">Mini deskop DELL WYSE P25</t>
  </si>
  <si>
    <t xml:space="preserve">KONFERENCIJSKI STOL, uredski</t>
  </si>
  <si>
    <t xml:space="preserve">ORMAR, kutni</t>
  </si>
  <si>
    <t xml:space="preserve">STOLICA, uredska</t>
  </si>
  <si>
    <t xml:space="preserve">PC + LCD monitor, SAMSUNG</t>
  </si>
  <si>
    <t xml:space="preserve">HLADNJAK, Gorenje</t>
  </si>
  <si>
    <r>
      <rPr>
        <sz val="10"/>
        <rFont val="Arial"/>
        <family val="2"/>
        <charset val="238"/>
      </rPr>
      <t xml:space="preserve">PC + MONITOR </t>
    </r>
    <r>
      <rPr>
        <sz val="8"/>
        <rFont val="Arial"/>
        <family val="2"/>
        <charset val="238"/>
      </rPr>
      <t xml:space="preserve">(2 kom.)</t>
    </r>
  </si>
  <si>
    <t xml:space="preserve">TERMO PEĆ</t>
  </si>
  <si>
    <t xml:space="preserve">KLIMA UREĐAJ, Vaillant</t>
  </si>
  <si>
    <t xml:space="preserve">PC + MONITOR, pr. LG</t>
  </si>
  <si>
    <t xml:space="preserve">PRINTER, HP DeskJet 940C</t>
  </si>
  <si>
    <t xml:space="preserve">BOJLER</t>
  </si>
  <si>
    <t xml:space="preserve">ORMAR, niski</t>
  </si>
  <si>
    <t xml:space="preserve">F220</t>
  </si>
  <si>
    <t xml:space="preserve">SUDOPER</t>
  </si>
  <si>
    <t xml:space="preserve">STOL PISAĆI  (3x)</t>
  </si>
  <si>
    <t xml:space="preserve">ORMAR sa policama</t>
  </si>
  <si>
    <t xml:space="preserve">STOL, konferencijski </t>
  </si>
  <si>
    <t xml:space="preserve">ORMAR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</si>
  <si>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tip. EMS 30H SET 3,5/3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</si>
  <si>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tip. EMS 20H SET 2,1/2,</t>
    </r>
  </si>
  <si>
    <t xml:space="preserve">ORMAR, sa šiber vratima, 3 police</t>
  </si>
  <si>
    <t xml:space="preserve">ORMAR za dokumentaciju</t>
  </si>
  <si>
    <t xml:space="preserve">STOL za terminal</t>
  </si>
  <si>
    <t xml:space="preserve">PISAĆI STOL </t>
  </si>
  <si>
    <t xml:space="preserve">VJEŠALICA, metalna</t>
  </si>
  <si>
    <t xml:space="preserve">MONITOR 24'' ELITE DISP CNC 6070CNJ</t>
  </si>
  <si>
    <r>
      <rPr>
        <sz val="10"/>
        <rFont val="Arial"/>
        <family val="2"/>
        <charset val="238"/>
      </rPr>
      <t xml:space="preserve">PRINTER, </t>
    </r>
    <r>
      <rPr>
        <sz val="9"/>
        <rFont val="Arial"/>
        <family val="2"/>
        <charset val="238"/>
      </rPr>
      <t xml:space="preserve">HP, LaserJet 5000</t>
    </r>
  </si>
  <si>
    <t xml:space="preserve">RAČUNALO</t>
  </si>
  <si>
    <r>
      <rPr>
        <sz val="10"/>
        <rFont val="Arial"/>
        <family val="2"/>
        <charset val="238"/>
      </rPr>
      <t xml:space="preserve">RAČUNALO + MONITOR, </t>
    </r>
    <r>
      <rPr>
        <sz val="8"/>
        <rFont val="Arial"/>
        <family val="2"/>
        <charset val="238"/>
      </rPr>
      <t xml:space="preserve">LG, FLETRON W2243S-PF</t>
    </r>
  </si>
  <si>
    <t xml:space="preserve">UREĐAJ za kopiranje, OCE TDS450 - kpl.</t>
  </si>
  <si>
    <t xml:space="preserve">F301</t>
  </si>
  <si>
    <t xml:space="preserve">ORMAR za kartoteku</t>
  </si>
  <si>
    <t xml:space="preserve">OSOBNO RAČUNALO</t>
  </si>
  <si>
    <t xml:space="preserve">MONITOR</t>
  </si>
  <si>
    <t xml:space="preserve">F401</t>
  </si>
  <si>
    <t xml:space="preserve">ORMAR, drveni, 2-krilni</t>
  </si>
  <si>
    <t xml:space="preserve">PISAĆI STOL-veći</t>
  </si>
  <si>
    <t xml:space="preserve">STOL, radni</t>
  </si>
  <si>
    <t xml:space="preserve">ORMAR sa ladicama</t>
  </si>
  <si>
    <t xml:space="preserve">ORMARIĆ sa šiber vratima</t>
  </si>
  <si>
    <t xml:space="preserve">ORMAR KOMBINIRANI sa šiber vratima</t>
  </si>
  <si>
    <t xml:space="preserve">PRINTER, LEXMARK E120</t>
  </si>
  <si>
    <t xml:space="preserve">MONITOR ACER G225HQV</t>
  </si>
  <si>
    <t xml:space="preserve">MONITOR LG FLATRON L1718S</t>
  </si>
  <si>
    <t xml:space="preserve">MONITOR LG FLATRON W1934S</t>
  </si>
  <si>
    <r>
      <rPr>
        <sz val="10"/>
        <rFont val="Arial"/>
        <family val="2"/>
        <charset val="238"/>
      </rPr>
      <t xml:space="preserve">MONITOR, </t>
    </r>
    <r>
      <rPr>
        <sz val="9"/>
        <rFont val="Arial"/>
        <family val="2"/>
        <charset val="238"/>
      </rPr>
      <t xml:space="preserve">SAMSUNG SYNC MASTER 720N</t>
    </r>
  </si>
  <si>
    <t xml:space="preserve">F710</t>
  </si>
  <si>
    <t xml:space="preserve">STALAŽA za dokumentaciju</t>
  </si>
  <si>
    <t xml:space="preserve">UREĐAJ za punjenje baterija, 84591</t>
  </si>
  <si>
    <t xml:space="preserve">ISPRAVLJAČ za punjenje akumulatora</t>
  </si>
  <si>
    <t xml:space="preserve">STALAŽA SA ROLOM za dokumentaciju</t>
  </si>
  <si>
    <t xml:space="preserve">ORMAR SA ROLOM za dokumentaciju</t>
  </si>
  <si>
    <t xml:space="preserve">STOL za sastanke</t>
  </si>
  <si>
    <t xml:space="preserve">ORMAR, drveni, 3-krilni</t>
  </si>
  <si>
    <r>
      <rPr>
        <sz val="10"/>
        <rFont val="Arial"/>
        <family val="2"/>
        <charset val="238"/>
      </rPr>
      <t xml:space="preserve">KLIMA UREĐAJ, </t>
    </r>
    <r>
      <rPr>
        <sz val="9"/>
        <rFont val="Arial"/>
        <family val="2"/>
        <charset val="238"/>
      </rPr>
      <t xml:space="preserve">Vaillant PRO 035</t>
    </r>
  </si>
  <si>
    <t xml:space="preserve">PISAĆI STOL  veći</t>
  </si>
  <si>
    <t xml:space="preserve">ORMAR sa šiber vratima</t>
  </si>
  <si>
    <r>
      <rPr>
        <sz val="10"/>
        <rFont val="Arial"/>
        <family val="2"/>
        <charset val="238"/>
      </rPr>
      <t xml:space="preserve">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310</t>
    </r>
    <r>
      <rPr>
        <sz val="8"/>
        <rFont val="Arial"/>
        <family val="2"/>
        <charset val="238"/>
      </rPr>
      <t xml:space="preserve">, Tb.60665</t>
    </r>
  </si>
  <si>
    <t xml:space="preserve">VJEŠALICA, metalna za robu</t>
  </si>
  <si>
    <t xml:space="preserve">STALAŽA, drvena za dokumentaciju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</si>
  <si>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LG, FLATRON W1934S</t>
    </r>
  </si>
  <si>
    <t xml:space="preserve">PRINTER, OKI B4350</t>
  </si>
  <si>
    <t xml:space="preserve">PRINTER, HP CN54PJ505B</t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</si>
  <si>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LaserJet 510 Otn</t>
    </r>
  </si>
  <si>
    <r>
      <rPr>
        <sz val="10"/>
        <rFont val="Arial"/>
        <family val="2"/>
        <charset val="238"/>
      </rPr>
      <t xml:space="preserve">PC </t>
    </r>
    <r>
      <rPr>
        <sz val="8"/>
        <rFont val="Arial"/>
        <family val="2"/>
        <charset val="238"/>
      </rPr>
      <t xml:space="preserve">(2x)</t>
    </r>
    <r>
      <rPr>
        <sz val="10"/>
        <rFont val="Arial"/>
        <family val="2"/>
        <charset val="238"/>
      </rPr>
      <t xml:space="preserve"> + MONITOR </t>
    </r>
    <r>
      <rPr>
        <sz val="8"/>
        <rFont val="Arial"/>
        <family val="2"/>
        <charset val="238"/>
      </rPr>
      <t xml:space="preserve">(1x)</t>
    </r>
  </si>
  <si>
    <t xml:space="preserve">F712</t>
  </si>
  <si>
    <r>
      <rPr>
        <sz val="10"/>
        <rFont val="Arial"/>
        <family val="2"/>
        <charset val="238"/>
      </rPr>
      <t xml:space="preserve">ORMAR na šinama, </t>
    </r>
    <r>
      <rPr>
        <sz val="8"/>
        <rFont val="Arial"/>
        <family val="2"/>
        <charset val="238"/>
      </rPr>
      <t xml:space="preserve">pr. Primat</t>
    </r>
  </si>
  <si>
    <t xml:space="preserve">STOL za pisaći stroj</t>
  </si>
  <si>
    <t xml:space="preserve">KLIMA UREĐAJ, ROADSTAR ACR 1247 W</t>
  </si>
  <si>
    <t xml:space="preserve">PISAĆI STOL TS 1633 HN EXTRA</t>
  </si>
  <si>
    <t xml:space="preserve">ORMAR TS 2100 HN EXTRA</t>
  </si>
  <si>
    <r>
      <rPr>
        <sz val="10"/>
        <rFont val="Arial"/>
        <family val="2"/>
        <charset val="238"/>
      </rPr>
      <t xml:space="preserve">PRIJENOSNO RAČUNALO, </t>
    </r>
    <r>
      <rPr>
        <sz val="8"/>
        <rFont val="Arial"/>
        <family val="2"/>
        <charset val="238"/>
      </rPr>
      <t xml:space="preserve">HP, COMPAQ NX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</si>
  <si>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DELL E Series E2417H</t>
    </r>
  </si>
  <si>
    <t xml:space="preserve">STOL-L, uredski</t>
  </si>
  <si>
    <t xml:space="preserve">PRINTER, OKI B840</t>
  </si>
  <si>
    <r>
      <rPr>
        <sz val="10"/>
        <rFont val="Arial"/>
        <family val="2"/>
        <charset val="238"/>
      </rPr>
      <t xml:space="preserve">PC + MONITOR, </t>
    </r>
    <r>
      <rPr>
        <sz val="8"/>
        <rFont val="Arial"/>
        <family val="2"/>
        <charset val="238"/>
      </rPr>
      <t xml:space="preserve">LG, FLATRON L1718S-SN</t>
    </r>
  </si>
  <si>
    <r>
      <rPr>
        <sz val="10"/>
        <rFont val="Arial"/>
        <family val="2"/>
        <charset val="238"/>
      </rPr>
      <t xml:space="preserve">PC + MONITOR, </t>
    </r>
    <r>
      <rPr>
        <sz val="8"/>
        <rFont val="Arial"/>
        <family val="2"/>
        <charset val="238"/>
      </rPr>
      <t xml:space="preserve">LG, FLATRON W2240S-PN</t>
    </r>
  </si>
  <si>
    <t xml:space="preserve">RADIJATOR, uljni</t>
  </si>
  <si>
    <t xml:space="preserve">ORMAR sa policama, 2-krilni</t>
  </si>
  <si>
    <t xml:space="preserve">STOL, uredski</t>
  </si>
  <si>
    <t xml:space="preserve">ORMAR za dokumentaciju, 4-krilni</t>
  </si>
  <si>
    <t xml:space="preserve">VJEŠALICA, drvena</t>
  </si>
  <si>
    <t xml:space="preserve">STALAŽA za papir</t>
  </si>
  <si>
    <t xml:space="preserve">F740</t>
  </si>
  <si>
    <t xml:space="preserve">PLOČA ZA CENTR. FREZ. GLAVA, kpl.</t>
  </si>
  <si>
    <t xml:space="preserve">PARAL. CRTALO TESA D AN 6 70-2000</t>
  </si>
  <si>
    <t xml:space="preserve">UNIVERZALNA BRUSILICA</t>
  </si>
  <si>
    <t xml:space="preserve">CRPKA, ručna, hdraulična, RHP 2/50 + </t>
  </si>
  <si>
    <t xml:space="preserve">UREĐAJ za provjeru akumulatora, AA 5</t>
  </si>
  <si>
    <t xml:space="preserve">CRPKA za hlađenje, tip. 5650</t>
  </si>
  <si>
    <t xml:space="preserve">KLIMA UREĐAJ, ROADSTAR ACR 947 W</t>
  </si>
  <si>
    <t xml:space="preserve">DIZALICA, prenosna, hidraulična, 6100</t>
  </si>
  <si>
    <r>
      <rPr>
        <sz val="10"/>
        <rFont val="Arial"/>
        <family val="2"/>
        <charset val="238"/>
      </rPr>
      <t xml:space="preserve">ISPRAVLJAČ AUTOMATIKE, </t>
    </r>
    <r>
      <rPr>
        <sz val="8"/>
        <rFont val="Arial"/>
        <family val="2"/>
        <charset val="238"/>
      </rPr>
      <t xml:space="preserve">12/24 V HF 40</t>
    </r>
  </si>
  <si>
    <t xml:space="preserve">DIZALICA LANČANA, polužna, mod. YALE</t>
  </si>
  <si>
    <t xml:space="preserve">OKRETNI STOL, kontrolni</t>
  </si>
  <si>
    <t xml:space="preserve">ISPRAVLJAČ automatike, do 60V</t>
  </si>
  <si>
    <t xml:space="preserve">DINAMOMETAR, do 1.000 kg</t>
  </si>
  <si>
    <t xml:space="preserve">F750</t>
  </si>
  <si>
    <t xml:space="preserve">STOL, pisaći sa ladicama</t>
  </si>
  <si>
    <t xml:space="preserve">GENERATOR učestalosti (stari Br.0173)</t>
  </si>
  <si>
    <t xml:space="preserve">AKSIJALNI VENTILATOR</t>
  </si>
  <si>
    <t xml:space="preserve">ORMAR SIGURNOSNI SO 1</t>
  </si>
  <si>
    <t xml:space="preserve">CENTRIFUGALNI VENTILATOR</t>
  </si>
  <si>
    <r>
      <rPr>
        <sz val="10"/>
        <rFont val="Arial"/>
        <family val="2"/>
        <charset val="238"/>
      </rPr>
      <t xml:space="preserve">AUTOMAT za elektro zavarivanje</t>
    </r>
    <r>
      <rPr>
        <sz val="9"/>
        <rFont val="Arial"/>
        <family val="2"/>
        <charset val="238"/>
      </rPr>
      <t xml:space="preserve">, pr. ARMCO</t>
    </r>
  </si>
  <si>
    <t xml:space="preserve">GARDEROBNI ORMAR, limeni, 2-krilni</t>
  </si>
  <si>
    <t xml:space="preserve">GARDEROBNI ORMAR, limeni, 3-krilni</t>
  </si>
  <si>
    <t xml:space="preserve">VITRINA, 2-dijelna</t>
  </si>
  <si>
    <t xml:space="preserve">POMOĆNI STOL</t>
  </si>
  <si>
    <t xml:space="preserve">DAKTILO STOL, drveni</t>
  </si>
  <si>
    <t xml:space="preserve">ORMARIĆ, viseći, 2-krilni</t>
  </si>
  <si>
    <t xml:space="preserve">VITRINA za dokumentaciju</t>
  </si>
  <si>
    <t xml:space="preserve">VISOKOTLAČNA OTISNA VENTILACIJA</t>
  </si>
  <si>
    <t xml:space="preserve">UREĐAJ ZA ZAGRIJ. I VENTIL. ZAVARI</t>
  </si>
  <si>
    <t xml:space="preserve">TERMO RADIJATOR</t>
  </si>
  <si>
    <t xml:space="preserve">KONFERENCIJSKI STOL</t>
  </si>
  <si>
    <t xml:space="preserve">PISAĆI STOL sa ladicama</t>
  </si>
  <si>
    <t xml:space="preserve">DAKTILO-STOL, drveni</t>
  </si>
  <si>
    <t xml:space="preserve">ORMARIĆ, drveni, 2-krilni</t>
  </si>
  <si>
    <t xml:space="preserve">STALAŽA, 3-dijelna</t>
  </si>
  <si>
    <t xml:space="preserve">STALAŽA, 4-dijelna</t>
  </si>
  <si>
    <t xml:space="preserve">STALAŽA sa ugrađenim ormarima</t>
  </si>
  <si>
    <t xml:space="preserve">ORMARIĆ, viseći</t>
  </si>
  <si>
    <t xml:space="preserve">VITRINA za trofeje</t>
  </si>
  <si>
    <t xml:space="preserve">ORMARIĆ, 2-krilni</t>
  </si>
  <si>
    <t xml:space="preserve">ORMARIĆ, viseći, 1-krilni</t>
  </si>
  <si>
    <t xml:space="preserve">ORMARIĆ, viseći, 3-krilni</t>
  </si>
  <si>
    <t xml:space="preserve">ORMAR, drveni, 1-krilni</t>
  </si>
  <si>
    <t xml:space="preserve">ORMAR, drveni, niski, 3-krilni</t>
  </si>
  <si>
    <t xml:space="preserve">ORMAR, drveni, 5-krilni</t>
  </si>
  <si>
    <t xml:space="preserve">STALAŽA, 2-djelna</t>
  </si>
  <si>
    <t xml:space="preserve">RADIJATOR, električni</t>
  </si>
  <si>
    <r>
      <rPr>
        <sz val="10"/>
        <rFont val="Arial"/>
        <family val="2"/>
        <charset val="238"/>
      </rPr>
      <t xml:space="preserve">ČISTAČ, </t>
    </r>
    <r>
      <rPr>
        <sz val="8"/>
        <rFont val="Arial"/>
        <family val="2"/>
        <charset val="238"/>
      </rPr>
      <t xml:space="preserve">RVM06B/FILTER REGULATOR, INDI</t>
    </r>
  </si>
  <si>
    <r>
      <rPr>
        <sz val="10"/>
        <rFont val="Arial"/>
        <family val="2"/>
        <charset val="238"/>
      </rPr>
      <t xml:space="preserve">POLUAUTOMAT, </t>
    </r>
    <r>
      <rPr>
        <sz val="8"/>
        <rFont val="Arial"/>
        <family val="2"/>
        <charset val="238"/>
      </rPr>
      <t xml:space="preserve">MIG-MAG zavariv., LAW 520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</si>
  <si>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 sa V/A-METROM</t>
    </r>
  </si>
  <si>
    <r>
      <rPr>
        <sz val="10"/>
        <rFont val="Arial"/>
        <family val="2"/>
        <charset val="238"/>
      </rPr>
      <t xml:space="preserve">POLUAUTOMAT, </t>
    </r>
    <r>
      <rPr>
        <sz val="8"/>
        <rFont val="Arial"/>
        <family val="2"/>
        <charset val="238"/>
      </rPr>
      <t xml:space="preserve">MIG-MAG-LAW 520 W-400/50 Hz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</si>
  <si>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 S V/A - METAR</t>
    </r>
  </si>
  <si>
    <r>
      <rPr>
        <sz val="10"/>
        <rFont val="Arial"/>
        <family val="2"/>
        <charset val="238"/>
      </rPr>
      <t xml:space="preserve">PIŠTOLJ za skidanje šljake, </t>
    </r>
    <r>
      <rPr>
        <sz val="8"/>
        <rFont val="Arial"/>
        <family val="2"/>
        <charset val="238"/>
      </rPr>
      <t xml:space="preserve">RRC 13B</t>
    </r>
  </si>
  <si>
    <t xml:space="preserve">GARDEROBNI ORMAR, 2-krilni</t>
  </si>
  <si>
    <t xml:space="preserve">PISAĆI STOL s ladicama</t>
  </si>
  <si>
    <t xml:space="preserve">ORMAR za ključeve</t>
  </si>
  <si>
    <t xml:space="preserve">ORMAR za zaštitna sredstva</t>
  </si>
  <si>
    <r>
      <rPr>
        <sz val="10"/>
        <rFont val="Arial"/>
        <family val="2"/>
        <charset val="238"/>
      </rPr>
      <t xml:space="preserve">TRAKTOR za zavar. u zaštiti praška, </t>
    </r>
    <r>
      <rPr>
        <sz val="8"/>
        <rFont val="Arial"/>
        <family val="2"/>
        <charset val="238"/>
      </rPr>
      <t xml:space="preserve">A6/LAF</t>
    </r>
  </si>
  <si>
    <r>
      <rPr>
        <sz val="10"/>
        <rFont val="Arial"/>
        <family val="2"/>
        <charset val="238"/>
      </rPr>
      <t xml:space="preserve">STROJ za zavarivanje </t>
    </r>
    <r>
      <rPr>
        <sz val="8"/>
        <rFont val="Arial"/>
        <family val="2"/>
        <charset val="238"/>
      </rPr>
      <t xml:space="preserve">ESAB, MIG 505W/30</t>
    </r>
  </si>
  <si>
    <t xml:space="preserve">ORMARIĆ, drveni, 2-krila, niski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</si>
  <si>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947 W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</si>
  <si>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1247 W</t>
    </r>
  </si>
  <si>
    <r>
      <rPr>
        <sz val="10"/>
        <rFont val="Arial"/>
        <family val="2"/>
        <charset val="238"/>
      </rPr>
      <t xml:space="preserve">POLUAUTOMAT za autogeno rezanje, </t>
    </r>
    <r>
      <rPr>
        <sz val="8"/>
        <rFont val="Arial"/>
        <family val="2"/>
        <charset val="238"/>
      </rPr>
      <t xml:space="preserve">QUICKY E 220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</si>
  <si>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ORIGOYARDFEED 200 M13</t>
    </r>
  </si>
  <si>
    <r>
      <rPr>
        <sz val="10"/>
        <rFont val="Arial"/>
        <family val="2"/>
        <charset val="238"/>
      </rPr>
      <t xml:space="preserve">APARAT za rezanje, </t>
    </r>
    <r>
      <rPr>
        <sz val="8"/>
        <rFont val="Arial"/>
        <family val="2"/>
        <charset val="238"/>
      </rPr>
      <t xml:space="preserve">QUICKY  E  220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</si>
  <si>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ORIGOYARDFEED 200</t>
    </r>
  </si>
  <si>
    <t xml:space="preserve">BRUSILICA, LSF 18 S430-1</t>
  </si>
  <si>
    <t xml:space="preserve">UREĐAJ za MIG/MAG, REL zavarivanje</t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</si>
  <si>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ORIGOFEED 304W M13 VIA</t>
    </r>
  </si>
  <si>
    <t xml:space="preserve">ORMAR sa stalažom i policama</t>
  </si>
  <si>
    <r>
      <rPr>
        <sz val="10"/>
        <rFont val="Arial"/>
        <family val="2"/>
        <charset val="238"/>
      </rPr>
      <t xml:space="preserve">BRUSILICA, </t>
    </r>
    <r>
      <rPr>
        <sz val="8"/>
        <rFont val="Arial"/>
        <family val="2"/>
        <charset val="238"/>
      </rPr>
      <t xml:space="preserve">LSV 28 ST12-12, k.br, 8423</t>
    </r>
  </si>
  <si>
    <r>
      <rPr>
        <sz val="10"/>
        <rFont val="Arial"/>
        <family val="2"/>
        <charset val="238"/>
      </rPr>
      <t xml:space="preserve">BRUSILICA, </t>
    </r>
    <r>
      <rPr>
        <sz val="8"/>
        <rFont val="Arial"/>
        <family val="2"/>
        <charset val="238"/>
      </rPr>
      <t xml:space="preserve">LSV 28 S060-18, k.br. 8423</t>
    </r>
  </si>
  <si>
    <r>
      <rPr>
        <sz val="10"/>
        <rFont val="Arial"/>
        <family val="2"/>
        <charset val="238"/>
      </rPr>
      <t xml:space="preserve">GRABLJE, L-1300 mm </t>
    </r>
    <r>
      <rPr>
        <sz val="8"/>
        <rFont val="Arial"/>
        <family val="2"/>
        <charset val="238"/>
      </rPr>
      <t xml:space="preserve">(veza zavarivanje)</t>
    </r>
  </si>
  <si>
    <t xml:space="preserve">GRABLJE S PRIKLJ. L-2100 mm (veza zavar.)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</si>
  <si>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LADER, MSM12 HRN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</si>
  <si>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20/5 Mp/15m, Br.</t>
    </r>
    <r>
      <rPr>
        <b val="true"/>
        <sz val="9"/>
        <rFont val="Arial"/>
        <family val="2"/>
        <charset val="238"/>
      </rPr>
      <t xml:space="preserve">63</t>
    </r>
  </si>
  <si>
    <t xml:space="preserve">KASA, metalna, lagana</t>
  </si>
  <si>
    <t xml:space="preserve">NOSAČ PALETA TKG-017</t>
  </si>
  <si>
    <t xml:space="preserve">STOL, pisaći</t>
  </si>
  <si>
    <t xml:space="preserve">STOL, obični</t>
  </si>
  <si>
    <t xml:space="preserve">rashod</t>
  </si>
  <si>
    <t xml:space="preserve">ORMAR, viseći</t>
  </si>
  <si>
    <t xml:space="preserve">F760</t>
  </si>
  <si>
    <t xml:space="preserve">OKRETNI ŠILJAK II STEP. TOČNOSTI</t>
  </si>
  <si>
    <t xml:space="preserve">CRPKA za tlačenje cjevovoda</t>
  </si>
  <si>
    <r>
      <rPr>
        <sz val="10"/>
        <rFont val="Arial"/>
        <family val="2"/>
        <charset val="238"/>
      </rPr>
      <t xml:space="preserve">PNEUMATSKI STEZAČ MATICA, </t>
    </r>
    <r>
      <rPr>
        <sz val="8"/>
        <rFont val="Arial"/>
        <family val="2"/>
        <charset val="238"/>
      </rPr>
      <t xml:space="preserve">SIZE 588</t>
    </r>
  </si>
  <si>
    <t xml:space="preserve">GONIOMETAR UNIVERZAL. RAFET</t>
  </si>
  <si>
    <r>
      <rPr>
        <sz val="10"/>
        <rFont val="Arial"/>
        <family val="2"/>
        <charset val="238"/>
      </rPr>
      <t xml:space="preserve">KOMPR. AGREGAT, elek., </t>
    </r>
    <r>
      <rPr>
        <sz val="8"/>
        <rFont val="Arial"/>
        <family val="2"/>
        <charset val="238"/>
      </rPr>
      <t xml:space="preserve">pr. HATLAPA, Tb.042</t>
    </r>
  </si>
  <si>
    <t xml:space="preserve">KOMPRESOR  QA61792  W 140</t>
  </si>
  <si>
    <t xml:space="preserve">OKRETNI ŠILJAK</t>
  </si>
  <si>
    <t xml:space="preserve">MJERNI LINEAR. GRAV. DIN866/II</t>
  </si>
  <si>
    <t xml:space="preserve">CRPKA, za rashladnu vodu cilindra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</si>
  <si>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FBT 190/320, pr. Froriep</t>
    </r>
  </si>
  <si>
    <t xml:space="preserve">CRPKA za ulje, vertikalna</t>
  </si>
  <si>
    <t xml:space="preserve">BOSTER CRPKA za prebacivanje goriva</t>
  </si>
  <si>
    <t xml:space="preserve">MAGNETSKI FILTER ULJA</t>
  </si>
  <si>
    <t xml:space="preserve">VISOKOTLAČNI SPREMNIK za zrak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</si>
  <si>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BFT 125/5, pr. Union</t>
    </r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</si>
  <si>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WH 80, pr. TOS</t>
    </r>
  </si>
  <si>
    <t xml:space="preserve">BRUSILICA, elektro</t>
  </si>
  <si>
    <r>
      <rPr>
        <sz val="10"/>
        <rFont val="Arial"/>
        <family val="2"/>
        <charset val="238"/>
      </rPr>
      <t xml:space="preserve">PRENOSNI STOL za vrtaljku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TI 1, pr. Union Germany</t>
    </r>
  </si>
  <si>
    <t xml:space="preserve">CRPKA, tankovne nafte</t>
  </si>
  <si>
    <t xml:space="preserve">CRPKA, morske vode</t>
  </si>
  <si>
    <t xml:space="preserve">SPREMNIK za gorivo</t>
  </si>
  <si>
    <t xml:space="preserve">ISPUŠNI LONAC</t>
  </si>
  <si>
    <t xml:space="preserve">TRANSFER CRPKA za prebacivanje ulja</t>
  </si>
  <si>
    <t xml:space="preserve">TERMOHIGROMETAR sa ugrađenom sondom</t>
  </si>
  <si>
    <t xml:space="preserve">ORMAR SIGURNOSNI SO 2</t>
  </si>
  <si>
    <r>
      <rPr>
        <sz val="10"/>
        <rFont val="Arial"/>
        <family val="2"/>
        <charset val="238"/>
      </rPr>
      <t xml:space="preserve">ISPRAVLJAČ za elektro zavarivanje, </t>
    </r>
    <r>
      <rPr>
        <sz val="9"/>
        <rFont val="Arial"/>
        <family val="2"/>
        <charset val="238"/>
      </rPr>
      <t xml:space="preserve">Tb.74155</t>
    </r>
  </si>
  <si>
    <t xml:space="preserve">STROJ za fino brušenje (super finiš), kpl.</t>
  </si>
  <si>
    <t xml:space="preserve">CRPKA za rashladnu vodu klipova</t>
  </si>
  <si>
    <t xml:space="preserve">UREĐAJ za sušenje elektroda, Tbr.4342</t>
  </si>
  <si>
    <t xml:space="preserve">APARAT za nanošenje boje</t>
  </si>
  <si>
    <t xml:space="preserve">RASHLADNIK za vodu cilindra</t>
  </si>
  <si>
    <t xml:space="preserve">RASHLADNIK vode za klipove</t>
  </si>
  <si>
    <t xml:space="preserve">RASHLADNIK ulja</t>
  </si>
  <si>
    <t xml:space="preserve">VAKUM UREĐAJ CRPKE morske vode</t>
  </si>
  <si>
    <t xml:space="preserve">PREŠA, hidromotorna, HNP-700/GD2-TB-</t>
  </si>
  <si>
    <t xml:space="preserve">AGREGAT CRPKE, PASK-45-4NM-B5</t>
  </si>
  <si>
    <r>
      <rPr>
        <sz val="10"/>
        <rFont val="Arial"/>
        <family val="2"/>
        <charset val="238"/>
      </rPr>
      <t xml:space="preserve">VERTIKALNA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FCV 63 SCA–19, pr. TOS</t>
    </r>
  </si>
  <si>
    <t xml:space="preserve">AUTOMATSKI FILTER, mazivog ulja</t>
  </si>
  <si>
    <t xml:space="preserve">CRPKA, PIONIR, 10 bara, Tbr.706068</t>
  </si>
  <si>
    <r>
      <rPr>
        <sz val="10"/>
        <rFont val="Arial"/>
        <family val="2"/>
        <charset val="238"/>
      </rPr>
      <t xml:space="preserve">ISPRAV. za elek-lučno zavarivanje,</t>
    </r>
    <r>
      <rPr>
        <sz val="8"/>
        <rFont val="Arial"/>
        <family val="2"/>
        <charset val="238"/>
      </rPr>
      <t xml:space="preserve"> tip. CP 350, Tb.1013</t>
    </r>
  </si>
  <si>
    <t xml:space="preserve">KOMORA za pranje, bojanje, sušenje BRO</t>
  </si>
  <si>
    <t xml:space="preserve">KADA za ispiranje cijevi</t>
  </si>
  <si>
    <t xml:space="preserve">CRPKA, dobavna diesel goriva, tip. PASVK</t>
  </si>
  <si>
    <t xml:space="preserve">BUŠILICA-ČEKIĆ, elektro, HR 4500</t>
  </si>
  <si>
    <t xml:space="preserve">KLIMA UREĐAJ, ROADSTAR ACR 900 W</t>
  </si>
  <si>
    <t xml:space="preserve">VISOKOTL. KLIPNA CRPKA, HPU 2250-2 S</t>
  </si>
  <si>
    <r>
      <rPr>
        <sz val="10"/>
        <rFont val="Arial"/>
        <family val="2"/>
        <charset val="238"/>
      </rPr>
      <t xml:space="preserve">SEPARATOR  ULJA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OSD 18-91-067/10, pr. GEA</t>
    </r>
  </si>
  <si>
    <r>
      <rPr>
        <sz val="10"/>
        <rFont val="Arial"/>
        <family val="2"/>
        <charset val="238"/>
      </rPr>
      <t xml:space="preserve">CRPKA ULJA-AGREGAT,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tip DVP-125-3DM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</si>
  <si>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DVOG. PORTALNA DIZALICA</t>
    </r>
    <r>
      <rPr>
        <sz val="8"/>
        <rFont val="Arial"/>
        <family val="2"/>
        <charset val="238"/>
      </rPr>
      <t xml:space="preserve">, tip. DPD 50/8 t /15m, Br.</t>
    </r>
    <r>
      <rPr>
        <b val="true"/>
        <sz val="9"/>
        <rFont val="Arial"/>
        <family val="2"/>
        <charset val="238"/>
      </rPr>
      <t xml:space="preserve">40</t>
    </r>
  </si>
  <si>
    <r>
      <rPr>
        <sz val="10"/>
        <rFont val="Arial"/>
        <family val="2"/>
        <charset val="238"/>
      </rPr>
      <t xml:space="preserve">DVOG. PORTALNA DIZALICA</t>
    </r>
    <r>
      <rPr>
        <sz val="8"/>
        <rFont val="Arial"/>
        <family val="2"/>
        <charset val="238"/>
      </rPr>
      <t xml:space="preserve">, tip. DPD 50/8 t/15m, Br.</t>
    </r>
    <r>
      <rPr>
        <b val="true"/>
        <sz val="9"/>
        <rFont val="Arial"/>
        <family val="2"/>
        <charset val="238"/>
      </rPr>
      <t xml:space="preserve">43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</si>
  <si>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16 Mp/18,1m,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42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</si>
  <si>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20t /15m, Br.</t>
    </r>
    <r>
      <rPr>
        <b val="true"/>
        <sz val="9"/>
        <rFont val="Arial"/>
        <family val="2"/>
        <charset val="238"/>
      </rPr>
      <t xml:space="preserve">44</t>
    </r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</si>
  <si>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tip. DMD 50Mp/18,4m, Br.</t>
    </r>
    <r>
      <rPr>
        <b val="true"/>
        <sz val="9"/>
        <rFont val="Arial"/>
        <family val="2"/>
        <charset val="238"/>
      </rPr>
      <t xml:space="preserve">39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</si>
  <si>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16Mp/18,1m, Br.</t>
    </r>
    <r>
      <rPr>
        <b val="true"/>
        <sz val="9"/>
        <rFont val="Arial"/>
        <family val="2"/>
        <charset val="238"/>
      </rPr>
      <t xml:space="preserve">52</t>
    </r>
  </si>
  <si>
    <t xml:space="preserve">OSOBNI LIFT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</si>
  <si>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5Mp/18,1m, Br.</t>
    </r>
    <r>
      <rPr>
        <b val="true"/>
        <sz val="9"/>
        <rFont val="Arial"/>
        <family val="2"/>
        <charset val="238"/>
      </rPr>
      <t xml:space="preserve">41</t>
    </r>
  </si>
  <si>
    <r>
      <rPr>
        <sz val="10"/>
        <rFont val="Arial"/>
        <family val="2"/>
        <charset val="238"/>
      </rPr>
      <t xml:space="preserve">JEDNOGREDNA 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301</t>
    </r>
  </si>
  <si>
    <r>
      <rPr>
        <sz val="10"/>
        <rFont val="Arial"/>
        <family val="2"/>
        <charset val="238"/>
      </rPr>
      <t xml:space="preserve">JEDNOGR. MOSNA DIZALICA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JMD 5 kN, Br.</t>
    </r>
    <r>
      <rPr>
        <b val="true"/>
        <sz val="9"/>
        <rFont val="Arial"/>
        <family val="2"/>
        <charset val="238"/>
      </rPr>
      <t xml:space="preserve">303</t>
    </r>
  </si>
  <si>
    <t xml:space="preserve">GLAVA za plansko tokar. Wohlhaupter</t>
  </si>
  <si>
    <t xml:space="preserve">F780</t>
  </si>
  <si>
    <t xml:space="preserve">TANK za ulje, lok. Ri</t>
  </si>
  <si>
    <t xml:space="preserve">STEPENICE za pristup motoru</t>
  </si>
  <si>
    <t xml:space="preserve">KADA za dekonzervaciju dijelova motora</t>
  </si>
  <si>
    <t xml:space="preserve">CRPKA na ispitnom stolu</t>
  </si>
  <si>
    <t xml:space="preserve">TANK otpadnog ulja cca 2 m³</t>
  </si>
  <si>
    <t xml:space="preserve">TANK ulja za podmazivanje cilindara 0,5 m³</t>
  </si>
  <si>
    <t xml:space="preserve">AGREGAT, el.-hidr. cca 36 l/min, 250 bara PPT</t>
  </si>
  <si>
    <t xml:space="preserve">SPREMNIK rashl. vode sa crpkom, cca 5 m³, Sulzer</t>
  </si>
  <si>
    <r>
      <rPr>
        <sz val="10"/>
        <rFont val="Arial"/>
        <family val="2"/>
        <charset val="238"/>
      </rPr>
      <t xml:space="preserve">ELEKTROMOTOR, 50 kW, 1450 min</t>
    </r>
    <r>
      <rPr>
        <sz val="10"/>
        <rFont val="Calibri"/>
        <family val="2"/>
        <charset val="238"/>
      </rPr>
      <t xml:space="preserve">¯¹</t>
    </r>
    <r>
      <rPr>
        <sz val="10"/>
        <rFont val="Arial"/>
        <family val="2"/>
        <charset val="238"/>
      </rPr>
      <t xml:space="preserve">, 380/50Hz</t>
    </r>
  </si>
  <si>
    <t xml:space="preserve">CRPKA za kaljužnu vodu, 4 kW</t>
  </si>
  <si>
    <r>
      <rPr>
        <sz val="10"/>
        <rFont val="Arial"/>
        <family val="2"/>
        <charset val="238"/>
      </rPr>
      <t xml:space="preserve">BRTVENI MATERIJAL, pluto ploče, </t>
    </r>
    <r>
      <rPr>
        <sz val="8"/>
        <rFont val="Arial"/>
        <family val="2"/>
        <charset val="238"/>
      </rPr>
      <t xml:space="preserve">deb. 3mm, 100 m²</t>
    </r>
  </si>
  <si>
    <r>
      <rPr>
        <sz val="10"/>
        <rFont val="Arial"/>
        <family val="2"/>
        <charset val="238"/>
      </rPr>
      <t xml:space="preserve">TANK otpadne vode, </t>
    </r>
    <r>
      <rPr>
        <sz val="9"/>
        <rFont val="Arial"/>
        <family val="2"/>
        <charset val="238"/>
      </rPr>
      <t xml:space="preserve">cca 2500x1300x1500 mm</t>
    </r>
  </si>
  <si>
    <t xml:space="preserve">CRPKA, visokotlačna, pneumat., do 2.000 bara</t>
  </si>
  <si>
    <r>
      <rPr>
        <sz val="10"/>
        <rFont val="Arial"/>
        <family val="2"/>
        <charset val="238"/>
      </rPr>
      <t xml:space="preserve">HIDRAUL. CILINDAR za stezanje svornjaka, </t>
    </r>
    <r>
      <rPr>
        <sz val="8"/>
        <rFont val="Arial"/>
        <family val="2"/>
        <charset val="238"/>
      </rPr>
      <t xml:space="preserve">M30</t>
    </r>
  </si>
  <si>
    <r>
      <rPr>
        <sz val="10"/>
        <rFont val="Arial"/>
        <family val="2"/>
        <charset val="238"/>
      </rPr>
      <t xml:space="preserve">HIDRAUL. CILINDAR za stezanje svornjaka, </t>
    </r>
    <r>
      <rPr>
        <sz val="8"/>
        <rFont val="Arial"/>
        <family val="2"/>
        <charset val="238"/>
      </rPr>
      <t xml:space="preserve">M33÷M42</t>
    </r>
  </si>
  <si>
    <t xml:space="preserve">PRINTER</t>
  </si>
  <si>
    <t xml:space="preserve">mod.</t>
  </si>
  <si>
    <r>
      <rPr>
        <sz val="10"/>
        <rFont val="Arial"/>
        <family val="2"/>
        <charset val="238"/>
      </rPr>
      <t xml:space="preserve">TRAČNA PILA za drvo</t>
    </r>
    <r>
      <rPr>
        <sz val="9"/>
        <rFont val="Arial"/>
        <family val="2"/>
        <charset val="238"/>
      </rPr>
      <t xml:space="preserve">, manja, pr. INCA </t>
    </r>
    <r>
      <rPr>
        <sz val="8"/>
        <rFont val="Arial"/>
        <family val="2"/>
        <charset val="238"/>
      </rPr>
      <t xml:space="preserve">(model.)</t>
    </r>
  </si>
  <si>
    <r>
      <rPr>
        <sz val="10"/>
        <rFont val="Arial"/>
        <family val="2"/>
        <charset val="238"/>
      </rPr>
      <t xml:space="preserve">KRUŽNA PILA za drvo,</t>
    </r>
    <r>
      <rPr>
        <sz val="9"/>
        <rFont val="Arial"/>
        <family val="2"/>
        <charset val="238"/>
      </rPr>
      <t xml:space="preserve"> tip. BP-63.1, pr. Bratstvo </t>
    </r>
    <r>
      <rPr>
        <sz val="8"/>
        <rFont val="Arial"/>
        <family val="2"/>
        <charset val="238"/>
      </rPr>
      <t xml:space="preserve">(mod.)</t>
    </r>
  </si>
  <si>
    <t xml:space="preserve">ljev.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</si>
  <si>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6T/15m, Br.</t>
    </r>
    <r>
      <rPr>
        <b val="true"/>
        <sz val="9"/>
        <rFont val="Arial"/>
        <family val="2"/>
        <charset val="238"/>
      </rPr>
      <t xml:space="preserve">49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(ljev.)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</si>
  <si>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16T/ 15m, Br.</t>
    </r>
    <r>
      <rPr>
        <b val="true"/>
        <sz val="9"/>
        <rFont val="Arial"/>
        <family val="2"/>
        <charset val="238"/>
      </rPr>
      <t xml:space="preserve">48</t>
    </r>
    <r>
      <rPr>
        <sz val="8"/>
        <rFont val="Arial"/>
        <family val="2"/>
        <charset val="238"/>
      </rPr>
      <t xml:space="preserve"> (ljev.)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</si>
  <si>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45/10T/15m, Br.</t>
    </r>
    <r>
      <rPr>
        <b val="true"/>
        <sz val="9"/>
        <rFont val="Arial"/>
        <family val="2"/>
        <charset val="238"/>
      </rPr>
      <t xml:space="preserve">51</t>
    </r>
  </si>
  <si>
    <t xml:space="preserve">kov.</t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</si>
  <si>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6T/15m, Br.</t>
    </r>
    <r>
      <rPr>
        <b val="true"/>
        <sz val="9"/>
        <rFont val="Arial"/>
        <family val="2"/>
        <charset val="238"/>
      </rPr>
      <t xml:space="preserve">77</t>
    </r>
    <r>
      <rPr>
        <sz val="8"/>
        <rFont val="Arial"/>
        <family val="2"/>
        <charset val="238"/>
      </rPr>
      <t xml:space="preserve"> (kov.)</t>
    </r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</si>
  <si>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nos. 10T (ispred kovačnice)</t>
    </r>
  </si>
  <si>
    <r>
      <rPr>
        <sz val="10"/>
        <rFont val="Arial"/>
        <family val="2"/>
        <charset val="238"/>
      </rPr>
      <t xml:space="preserve">PRINT SERVER-NET PRN, </t>
    </r>
    <r>
      <rPr>
        <sz val="8"/>
        <rFont val="Arial"/>
        <family val="2"/>
        <charset val="238"/>
      </rPr>
      <t xml:space="preserve">DLK DP-301P         (MID)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</si>
  <si>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LEXMARX, E120N                                   (MID)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</si>
  <si>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8300ELITE CZC31869B1             (MID)</t>
    </r>
  </si>
  <si>
    <t xml:space="preserve">Kn.</t>
  </si>
  <si>
    <t xml:space="preserve">KN/EUR =</t>
  </si>
  <si>
    <t xml:space="preserve">EUR.</t>
  </si>
  <si>
    <t xml:space="preserve">Datum :   01.12.2020.</t>
  </si>
  <si>
    <t xml:space="preserve">Procjenu izradio :</t>
  </si>
  <si>
    <r>
      <rPr>
        <sz val="9"/>
        <rFont val="Arial"/>
        <family val="2"/>
        <charset val="1"/>
      </rPr>
      <t xml:space="preserve">VEČESLAV GRŽINIĆ</t>
    </r>
    <r>
      <rPr>
        <sz val="8"/>
        <rFont val="Arial"/>
        <family val="2"/>
        <charset val="1"/>
      </rPr>
      <t xml:space="preserve">, dis.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</si>
</sst>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General"/>
    <numFmt numFmtId="168" formatCode="#,##0.0"/>
  </numFmts>
  <fonts count="3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9"/>
      <color rgb="FF0000FF"/>
      <name val="Arial"/>
      <family val="2"/>
      <charset val="238"/>
    </font>
    <font>
      <sz val="10"/>
      <name val="Calibri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8"/>
      <color rgb="FFFF66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0"/>
      <color rgb="FFFF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dotted"/>
      <top/>
      <bottom style="dotted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dotted"/>
      <top style="dotted"/>
      <bottom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5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4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5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9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8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3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5" fillId="0" borderId="23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23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28" fillId="0" borderId="0" xfId="23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03. PROCJENA strojeva i opreme - ConVict" xfId="21"/>
    <cellStyle name="Normalno 2" xfId="22"/>
    <cellStyle name="Normalno 2 2" xfId="23"/>
    <cellStyle name="Normalno 3" xfId="2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2"/>
  <sheetViews>
    <sheetView showFormulas="false" showGridLines="true" showRowColHeaders="true" showZeros="true" rightToLeft="false" tabSelected="true" showOutlineSymbols="true" defaultGridColor="true" view="normal" topLeftCell="A15" colorId="64" zoomScale="100" zoomScaleNormal="100" zoomScalePageLayoutView="100" workbookViewId="0">
      <selection pane="topLeft" activeCell="L16" activeCellId="0" sqref="L13:M16"/>
    </sheetView>
  </sheetViews>
  <sheetFormatPr defaultRowHeight="14.4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4.56"/>
    <col collapsed="false" customWidth="true" hidden="false" outlineLevel="0" max="3" min="3" style="1" width="7.44"/>
    <col collapsed="false" customWidth="true" hidden="false" outlineLevel="0" max="4" min="4" style="1" width="44.89"/>
    <col collapsed="false" customWidth="true" hidden="false" outlineLevel="0" max="5" min="5" style="1" width="5.22"/>
    <col collapsed="false" customWidth="true" hidden="false" outlineLevel="0" max="6" min="6" style="1" width="10.33"/>
    <col collapsed="false" customWidth="true" hidden="false" outlineLevel="0" max="7" min="7" style="1" width="4.66"/>
    <col collapsed="false" customWidth="true" hidden="false" outlineLevel="0" max="8" min="8" style="1" width="11.65"/>
    <col collapsed="false" customWidth="true" hidden="false" outlineLevel="0" max="9" min="9" style="1" width="13.1"/>
    <col collapsed="false" customWidth="true" hidden="false" outlineLevel="0" max="1025" min="10" style="1" width="9.12"/>
  </cols>
  <sheetData>
    <row r="1" customFormat="false" ht="3" hidden="false" customHeight="true" outlineLevel="0" collapsed="false"/>
    <row r="2" s="7" customFormat="true" ht="12" hidden="false" customHeight="true" outlineLevel="0" collapsed="false">
      <c r="A2" s="2" t="s">
        <v>0</v>
      </c>
      <c r="B2" s="3"/>
      <c r="C2" s="3" t="s">
        <v>1</v>
      </c>
      <c r="D2" s="4"/>
      <c r="E2" s="3" t="s">
        <v>2</v>
      </c>
      <c r="F2" s="5" t="s">
        <v>3</v>
      </c>
      <c r="G2" s="3" t="s">
        <v>4</v>
      </c>
      <c r="H2" s="6" t="s">
        <v>5</v>
      </c>
    </row>
    <row r="3" s="7" customFormat="true" ht="12" hidden="false" customHeight="true" outlineLevel="0" collapsed="false">
      <c r="A3" s="8" t="s">
        <v>6</v>
      </c>
      <c r="B3" s="9" t="s">
        <v>7</v>
      </c>
      <c r="C3" s="9" t="s">
        <v>8</v>
      </c>
      <c r="D3" s="10" t="s">
        <v>9</v>
      </c>
      <c r="E3" s="11" t="s">
        <v>10</v>
      </c>
      <c r="F3" s="11" t="s">
        <v>11</v>
      </c>
      <c r="G3" s="12"/>
      <c r="H3" s="13" t="s">
        <v>12</v>
      </c>
    </row>
    <row r="4" s="7" customFormat="true" ht="12" hidden="false" customHeight="true" outlineLevel="0" collapsed="false">
      <c r="A4" s="14"/>
      <c r="B4" s="15"/>
      <c r="C4" s="15"/>
      <c r="D4" s="16"/>
      <c r="E4" s="15" t="s">
        <v>13</v>
      </c>
      <c r="F4" s="17" t="s">
        <v>14</v>
      </c>
      <c r="G4" s="18" t="s">
        <v>15</v>
      </c>
      <c r="H4" s="19" t="s">
        <v>16</v>
      </c>
      <c r="I4" s="20"/>
    </row>
    <row r="5" s="7" customFormat="true" ht="4.5" hidden="false" customHeight="true" outlineLevel="0" collapsed="false">
      <c r="A5" s="21"/>
      <c r="B5" s="22"/>
      <c r="C5" s="22"/>
      <c r="D5" s="10"/>
      <c r="E5" s="22"/>
      <c r="F5" s="10"/>
      <c r="G5" s="23"/>
      <c r="H5" s="24"/>
      <c r="I5" s="20"/>
    </row>
    <row r="6" s="7" customFormat="true" ht="14.25" hidden="false" customHeight="true" outlineLevel="0" collapsed="false">
      <c r="A6" s="25" t="n">
        <v>2</v>
      </c>
      <c r="B6" s="26" t="s">
        <v>17</v>
      </c>
      <c r="C6" s="26" t="str">
        <f aca="false">"0620408"</f>
        <v>0620408</v>
      </c>
      <c r="D6" s="27" t="s">
        <v>18</v>
      </c>
      <c r="E6" s="26" t="n">
        <v>2008</v>
      </c>
      <c r="F6" s="28" t="n">
        <v>983.61</v>
      </c>
      <c r="G6" s="29" t="n">
        <v>1</v>
      </c>
      <c r="H6" s="30" t="n">
        <v>100</v>
      </c>
      <c r="I6" s="20"/>
    </row>
    <row r="7" s="7" customFormat="true" ht="14.25" hidden="false" customHeight="true" outlineLevel="0" collapsed="false">
      <c r="A7" s="25" t="n">
        <v>3</v>
      </c>
      <c r="B7" s="26" t="s">
        <v>17</v>
      </c>
      <c r="C7" s="26" t="str">
        <f aca="false">"0046659"</f>
        <v>0046659</v>
      </c>
      <c r="D7" s="27" t="s">
        <v>19</v>
      </c>
      <c r="E7" s="26" t="n">
        <v>2016</v>
      </c>
      <c r="F7" s="28" t="n">
        <v>1875</v>
      </c>
      <c r="G7" s="29" t="n">
        <v>1</v>
      </c>
      <c r="H7" s="30" t="n">
        <v>685</v>
      </c>
      <c r="I7" s="20"/>
    </row>
    <row r="8" s="31" customFormat="true" ht="13.8" hidden="false" customHeight="false" outlineLevel="0" collapsed="false">
      <c r="A8" s="25" t="n">
        <v>5</v>
      </c>
      <c r="B8" s="26" t="s">
        <v>17</v>
      </c>
      <c r="C8" s="26" t="str">
        <f aca="false">"0860441"</f>
        <v>0860441</v>
      </c>
      <c r="D8" s="27" t="s">
        <v>20</v>
      </c>
      <c r="E8" s="26" t="n">
        <v>2013</v>
      </c>
      <c r="F8" s="28" t="n">
        <v>3990</v>
      </c>
      <c r="G8" s="29" t="n">
        <v>2</v>
      </c>
      <c r="H8" s="30" t="n">
        <v>1600</v>
      </c>
    </row>
    <row r="9" s="31" customFormat="true" ht="13.8" hidden="false" customHeight="false" outlineLevel="0" collapsed="false">
      <c r="A9" s="25" t="n">
        <v>6</v>
      </c>
      <c r="B9" s="26" t="s">
        <v>21</v>
      </c>
      <c r="C9" s="26" t="str">
        <f aca="false">"0861170"</f>
        <v>0861170</v>
      </c>
      <c r="D9" s="27" t="s">
        <v>22</v>
      </c>
      <c r="E9" s="26" t="n">
        <v>2012</v>
      </c>
      <c r="F9" s="28" t="n">
        <v>2093.79</v>
      </c>
      <c r="G9" s="29" t="n">
        <v>2</v>
      </c>
      <c r="H9" s="30" t="n">
        <v>990</v>
      </c>
    </row>
    <row r="10" s="7" customFormat="true" ht="14.25" hidden="false" customHeight="true" outlineLevel="0" collapsed="false">
      <c r="A10" s="25" t="n">
        <v>7</v>
      </c>
      <c r="B10" s="26" t="s">
        <v>17</v>
      </c>
      <c r="C10" s="26" t="s">
        <v>23</v>
      </c>
      <c r="D10" s="27" t="s">
        <v>24</v>
      </c>
      <c r="E10" s="26" t="n">
        <v>2013</v>
      </c>
      <c r="F10" s="28" t="n">
        <v>2050</v>
      </c>
      <c r="G10" s="29" t="n">
        <v>1</v>
      </c>
      <c r="H10" s="30" t="n">
        <v>210</v>
      </c>
      <c r="I10" s="20"/>
    </row>
    <row r="11" s="7" customFormat="true" ht="14.25" hidden="false" customHeight="true" outlineLevel="0" collapsed="false">
      <c r="A11" s="25" t="n">
        <v>8</v>
      </c>
      <c r="B11" s="26" t="s">
        <v>17</v>
      </c>
      <c r="C11" s="26" t="s">
        <v>23</v>
      </c>
      <c r="D11" s="27" t="s">
        <v>25</v>
      </c>
      <c r="E11" s="26" t="n">
        <v>2013</v>
      </c>
      <c r="F11" s="28" t="n">
        <v>3800</v>
      </c>
      <c r="G11" s="29" t="n">
        <v>1</v>
      </c>
      <c r="H11" s="30" t="n">
        <v>760</v>
      </c>
      <c r="I11" s="20"/>
    </row>
    <row r="12" s="7" customFormat="true" ht="14.25" hidden="false" customHeight="true" outlineLevel="0" collapsed="false">
      <c r="A12" s="25" t="n">
        <v>9</v>
      </c>
      <c r="B12" s="26" t="s">
        <v>17</v>
      </c>
      <c r="C12" s="26" t="s">
        <v>23</v>
      </c>
      <c r="D12" s="27" t="s">
        <v>26</v>
      </c>
      <c r="E12" s="26" t="n">
        <v>2013</v>
      </c>
      <c r="F12" s="28" t="n">
        <v>3650</v>
      </c>
      <c r="G12" s="29" t="n">
        <v>1</v>
      </c>
      <c r="H12" s="30" t="n">
        <v>370</v>
      </c>
      <c r="I12" s="20"/>
    </row>
    <row r="13" s="7" customFormat="true" ht="14.25" hidden="false" customHeight="true" outlineLevel="0" collapsed="false">
      <c r="A13" s="32" t="n">
        <v>10</v>
      </c>
      <c r="B13" s="26" t="s">
        <v>17</v>
      </c>
      <c r="C13" s="26" t="s">
        <v>23</v>
      </c>
      <c r="D13" s="27" t="s">
        <v>27</v>
      </c>
      <c r="E13" s="26" t="n">
        <v>2001</v>
      </c>
      <c r="F13" s="28" t="n">
        <v>360</v>
      </c>
      <c r="G13" s="29" t="n">
        <v>1</v>
      </c>
      <c r="H13" s="30" t="n">
        <v>20</v>
      </c>
      <c r="I13" s="20"/>
    </row>
    <row r="14" s="7" customFormat="true" ht="14.25" hidden="false" customHeight="true" outlineLevel="0" collapsed="false">
      <c r="A14" s="33" t="n">
        <v>12</v>
      </c>
      <c r="B14" s="26" t="s">
        <v>17</v>
      </c>
      <c r="C14" s="26" t="s">
        <v>23</v>
      </c>
      <c r="D14" s="27" t="s">
        <v>28</v>
      </c>
      <c r="E14" s="26" t="n">
        <v>2006</v>
      </c>
      <c r="F14" s="28" t="n">
        <v>3600</v>
      </c>
      <c r="G14" s="29" t="n">
        <v>1</v>
      </c>
      <c r="H14" s="30" t="n">
        <v>230</v>
      </c>
      <c r="I14" s="20"/>
    </row>
    <row r="15" s="7" customFormat="true" ht="14.25" hidden="false" customHeight="true" outlineLevel="0" collapsed="false">
      <c r="A15" s="25" t="n">
        <v>13</v>
      </c>
      <c r="B15" s="26" t="s">
        <v>17</v>
      </c>
      <c r="C15" s="26" t="s">
        <v>23</v>
      </c>
      <c r="D15" s="27" t="s">
        <v>29</v>
      </c>
      <c r="E15" s="26" t="n">
        <v>2001</v>
      </c>
      <c r="F15" s="28" t="n">
        <v>3150</v>
      </c>
      <c r="G15" s="29" t="n">
        <v>1</v>
      </c>
      <c r="H15" s="30" t="n">
        <v>190</v>
      </c>
      <c r="I15" s="20"/>
    </row>
    <row r="16" s="31" customFormat="true" ht="13.8" hidden="false" customHeight="false" outlineLevel="0" collapsed="false">
      <c r="A16" s="25" t="n">
        <v>17</v>
      </c>
      <c r="B16" s="26" t="s">
        <v>17</v>
      </c>
      <c r="C16" s="26" t="str">
        <f aca="false">"0875724"</f>
        <v>0875724</v>
      </c>
      <c r="D16" s="27" t="s">
        <v>30</v>
      </c>
      <c r="E16" s="26" t="n">
        <v>2009</v>
      </c>
      <c r="F16" s="28" t="n">
        <v>2004</v>
      </c>
      <c r="G16" s="29" t="n">
        <v>1</v>
      </c>
      <c r="H16" s="30" t="n">
        <v>185</v>
      </c>
    </row>
    <row r="17" s="31" customFormat="true" ht="13.8" hidden="false" customHeight="false" outlineLevel="0" collapsed="false">
      <c r="A17" s="25" t="n">
        <v>18</v>
      </c>
      <c r="B17" s="26" t="s">
        <v>17</v>
      </c>
      <c r="C17" s="26" t="str">
        <f aca="false">"0886513"</f>
        <v>0886513</v>
      </c>
      <c r="D17" s="27" t="s">
        <v>31</v>
      </c>
      <c r="E17" s="26" t="n">
        <v>2016</v>
      </c>
      <c r="F17" s="28" t="n">
        <v>1468.04</v>
      </c>
      <c r="G17" s="29" t="n">
        <v>1</v>
      </c>
      <c r="H17" s="30" t="n">
        <v>620</v>
      </c>
    </row>
    <row r="18" s="31" customFormat="true" ht="13.8" hidden="false" customHeight="false" outlineLevel="0" collapsed="false">
      <c r="A18" s="25" t="n">
        <v>23</v>
      </c>
      <c r="B18" s="26" t="s">
        <v>32</v>
      </c>
      <c r="C18" s="26" t="str">
        <f aca="false">"0865524"</f>
        <v>0865524</v>
      </c>
      <c r="D18" s="27" t="s">
        <v>33</v>
      </c>
      <c r="E18" s="26" t="n">
        <v>1972</v>
      </c>
      <c r="F18" s="28" t="n">
        <v>808.71</v>
      </c>
      <c r="G18" s="29" t="n">
        <v>1</v>
      </c>
      <c r="H18" s="30" t="n">
        <v>25</v>
      </c>
    </row>
    <row r="19" s="31" customFormat="true" ht="13.8" hidden="false" customHeight="false" outlineLevel="0" collapsed="false">
      <c r="A19" s="25" t="n">
        <v>24</v>
      </c>
      <c r="B19" s="26" t="s">
        <v>32</v>
      </c>
      <c r="C19" s="26" t="str">
        <f aca="false">"0866059"</f>
        <v>0866059</v>
      </c>
      <c r="D19" s="27" t="s">
        <v>34</v>
      </c>
      <c r="E19" s="26" t="n">
        <v>1976</v>
      </c>
      <c r="F19" s="28" t="n">
        <v>514.89</v>
      </c>
      <c r="G19" s="29" t="n">
        <v>1</v>
      </c>
      <c r="H19" s="30" t="n">
        <v>20</v>
      </c>
    </row>
    <row r="20" s="31" customFormat="true" ht="13.8" hidden="false" customHeight="false" outlineLevel="0" collapsed="false">
      <c r="A20" s="33" t="n">
        <v>28</v>
      </c>
      <c r="B20" s="26" t="s">
        <v>32</v>
      </c>
      <c r="C20" s="26" t="str">
        <f aca="false">"0862436"</f>
        <v>0862436</v>
      </c>
      <c r="D20" s="27" t="s">
        <v>35</v>
      </c>
      <c r="E20" s="26" t="n">
        <v>1986</v>
      </c>
      <c r="F20" s="28" t="n">
        <v>18089.38</v>
      </c>
      <c r="G20" s="29" t="n">
        <v>1</v>
      </c>
      <c r="H20" s="30" t="n">
        <v>810</v>
      </c>
    </row>
    <row r="21" s="31" customFormat="true" ht="13.8" hidden="false" customHeight="false" outlineLevel="0" collapsed="false">
      <c r="A21" s="25" t="n">
        <v>29</v>
      </c>
      <c r="B21" s="26" t="s">
        <v>32</v>
      </c>
      <c r="C21" s="26" t="str">
        <f aca="false">"0862444"</f>
        <v>0862444</v>
      </c>
      <c r="D21" s="27" t="s">
        <v>36</v>
      </c>
      <c r="E21" s="26" t="n">
        <v>1986</v>
      </c>
      <c r="F21" s="28" t="n">
        <v>16900.07</v>
      </c>
      <c r="G21" s="29" t="n">
        <v>1</v>
      </c>
      <c r="H21" s="30" t="n">
        <v>760</v>
      </c>
    </row>
    <row r="22" s="31" customFormat="true" ht="13.8" hidden="false" customHeight="false" outlineLevel="0" collapsed="false">
      <c r="A22" s="25" t="n">
        <v>30</v>
      </c>
      <c r="B22" s="26" t="s">
        <v>32</v>
      </c>
      <c r="C22" s="26" t="str">
        <f aca="false">"0862452"</f>
        <v>0862452</v>
      </c>
      <c r="D22" s="27" t="s">
        <v>37</v>
      </c>
      <c r="E22" s="26" t="n">
        <v>1986</v>
      </c>
      <c r="F22" s="28" t="n">
        <v>3880.8</v>
      </c>
      <c r="G22" s="29" t="n">
        <v>1</v>
      </c>
      <c r="H22" s="30" t="n">
        <v>170</v>
      </c>
    </row>
    <row r="23" s="31" customFormat="true" ht="13.8" hidden="false" customHeight="false" outlineLevel="0" collapsed="false">
      <c r="A23" s="25" t="n">
        <v>31</v>
      </c>
      <c r="B23" s="26" t="s">
        <v>32</v>
      </c>
      <c r="C23" s="26" t="str">
        <f aca="false">"0862460"</f>
        <v>0862460</v>
      </c>
      <c r="D23" s="27" t="s">
        <v>38</v>
      </c>
      <c r="E23" s="26" t="n">
        <v>1986</v>
      </c>
      <c r="F23" s="28" t="n">
        <v>3880.8</v>
      </c>
      <c r="G23" s="29" t="n">
        <v>1</v>
      </c>
      <c r="H23" s="30" t="n">
        <v>170</v>
      </c>
    </row>
    <row r="24" s="31" customFormat="true" ht="13.8" hidden="false" customHeight="false" outlineLevel="0" collapsed="false">
      <c r="A24" s="25" t="n">
        <v>32</v>
      </c>
      <c r="B24" s="26" t="s">
        <v>32</v>
      </c>
      <c r="C24" s="26" t="str">
        <f aca="false">"0862479"</f>
        <v>0862479</v>
      </c>
      <c r="D24" s="27" t="s">
        <v>39</v>
      </c>
      <c r="E24" s="26" t="n">
        <v>1986</v>
      </c>
      <c r="F24" s="28" t="n">
        <v>5132.63</v>
      </c>
      <c r="G24" s="29" t="n">
        <v>1</v>
      </c>
      <c r="H24" s="30" t="n">
        <v>230</v>
      </c>
    </row>
    <row r="25" s="31" customFormat="true" ht="13.8" hidden="false" customHeight="false" outlineLevel="0" collapsed="false">
      <c r="A25" s="25" t="n">
        <v>33</v>
      </c>
      <c r="B25" s="26" t="s">
        <v>32</v>
      </c>
      <c r="C25" s="26" t="str">
        <f aca="false">"0862487"</f>
        <v>0862487</v>
      </c>
      <c r="D25" s="27" t="s">
        <v>40</v>
      </c>
      <c r="E25" s="26" t="n">
        <v>1986</v>
      </c>
      <c r="F25" s="28" t="n">
        <v>4631.82</v>
      </c>
      <c r="G25" s="29" t="n">
        <v>1</v>
      </c>
      <c r="H25" s="30" t="n">
        <v>210</v>
      </c>
    </row>
    <row r="26" s="31" customFormat="true" ht="13.8" hidden="false" customHeight="false" outlineLevel="0" collapsed="false">
      <c r="A26" s="25" t="n">
        <v>47</v>
      </c>
      <c r="B26" s="26" t="s">
        <v>32</v>
      </c>
      <c r="C26" s="26" t="str">
        <f aca="false">"0863645"</f>
        <v>0863645</v>
      </c>
      <c r="D26" s="27" t="s">
        <v>34</v>
      </c>
      <c r="E26" s="26" t="n">
        <v>1975</v>
      </c>
      <c r="F26" s="28" t="n">
        <v>762.33</v>
      </c>
      <c r="G26" s="29" t="n">
        <v>1</v>
      </c>
      <c r="H26" s="30" t="n">
        <v>25</v>
      </c>
    </row>
    <row r="27" s="31" customFormat="true" ht="13.8" hidden="false" customHeight="false" outlineLevel="0" collapsed="false">
      <c r="A27" s="25" t="n">
        <v>48</v>
      </c>
      <c r="B27" s="26" t="s">
        <v>32</v>
      </c>
      <c r="C27" s="26" t="str">
        <f aca="false">"0869600"</f>
        <v>0869600</v>
      </c>
      <c r="D27" s="27" t="s">
        <v>41</v>
      </c>
      <c r="E27" s="26" t="n">
        <v>1984</v>
      </c>
      <c r="F27" s="28" t="n">
        <v>51.06</v>
      </c>
      <c r="G27" s="29" t="n">
        <v>1</v>
      </c>
      <c r="H27" s="30" t="n">
        <v>5</v>
      </c>
    </row>
    <row r="28" s="31" customFormat="true" ht="13.8" hidden="false" customHeight="false" outlineLevel="0" collapsed="false">
      <c r="A28" s="32" t="n">
        <v>49</v>
      </c>
      <c r="B28" s="26" t="s">
        <v>32</v>
      </c>
      <c r="C28" s="26" t="str">
        <f aca="false">"0869643"</f>
        <v>0869643</v>
      </c>
      <c r="D28" s="27" t="s">
        <v>41</v>
      </c>
      <c r="E28" s="26" t="n">
        <v>1984</v>
      </c>
      <c r="F28" s="28" t="n">
        <v>160.92</v>
      </c>
      <c r="G28" s="29" t="n">
        <v>1</v>
      </c>
      <c r="H28" s="30" t="n">
        <v>5</v>
      </c>
    </row>
    <row r="29" s="31" customFormat="true" ht="13.8" hidden="false" customHeight="false" outlineLevel="0" collapsed="false">
      <c r="A29" s="33" t="n">
        <v>51</v>
      </c>
      <c r="B29" s="26" t="s">
        <v>32</v>
      </c>
      <c r="C29" s="26" t="str">
        <f aca="false">"0870420"</f>
        <v>0870420</v>
      </c>
      <c r="D29" s="27" t="s">
        <v>42</v>
      </c>
      <c r="E29" s="26" t="n">
        <v>1984</v>
      </c>
      <c r="F29" s="28" t="n">
        <v>434.98</v>
      </c>
      <c r="G29" s="29" t="n">
        <v>1</v>
      </c>
      <c r="H29" s="30" t="n">
        <v>20</v>
      </c>
    </row>
    <row r="30" s="31" customFormat="true" ht="13.8" hidden="false" customHeight="false" outlineLevel="0" collapsed="false">
      <c r="A30" s="25" t="n">
        <v>52</v>
      </c>
      <c r="B30" s="26" t="s">
        <v>32</v>
      </c>
      <c r="C30" s="26" t="str">
        <f aca="false">"0870439"</f>
        <v>0870439</v>
      </c>
      <c r="D30" s="27" t="s">
        <v>41</v>
      </c>
      <c r="E30" s="26" t="n">
        <v>1984</v>
      </c>
      <c r="F30" s="28" t="n">
        <v>581.34</v>
      </c>
      <c r="G30" s="29" t="n">
        <v>1</v>
      </c>
      <c r="H30" s="30" t="n">
        <v>20</v>
      </c>
    </row>
    <row r="31" s="31" customFormat="true" ht="13.8" hidden="false" customHeight="false" outlineLevel="0" collapsed="false">
      <c r="A31" s="25" t="n">
        <v>53</v>
      </c>
      <c r="B31" s="26" t="s">
        <v>32</v>
      </c>
      <c r="C31" s="26" t="str">
        <f aca="false">"0864307"</f>
        <v>0864307</v>
      </c>
      <c r="D31" s="27" t="s">
        <v>41</v>
      </c>
      <c r="E31" s="26" t="n">
        <v>1971</v>
      </c>
      <c r="F31" s="28" t="n">
        <v>95.49</v>
      </c>
      <c r="G31" s="29" t="n">
        <v>1</v>
      </c>
      <c r="H31" s="30" t="n">
        <v>5</v>
      </c>
    </row>
    <row r="32" s="31" customFormat="true" ht="13.8" hidden="false" customHeight="false" outlineLevel="0" collapsed="false">
      <c r="A32" s="25" t="n">
        <v>54</v>
      </c>
      <c r="B32" s="26" t="s">
        <v>32</v>
      </c>
      <c r="C32" s="26" t="str">
        <f aca="false">"0864340"</f>
        <v>0864340</v>
      </c>
      <c r="D32" s="27" t="s">
        <v>43</v>
      </c>
      <c r="E32" s="26" t="n">
        <v>1971</v>
      </c>
      <c r="F32" s="28" t="n">
        <v>913.86</v>
      </c>
      <c r="G32" s="29" t="n">
        <v>2</v>
      </c>
      <c r="H32" s="30" t="n">
        <v>60</v>
      </c>
    </row>
    <row r="33" s="31" customFormat="true" ht="13.8" hidden="false" customHeight="false" outlineLevel="0" collapsed="false">
      <c r="A33" s="25" t="n">
        <v>55</v>
      </c>
      <c r="B33" s="26" t="s">
        <v>32</v>
      </c>
      <c r="C33" s="26" t="str">
        <f aca="false">"0860069"</f>
        <v>0860069</v>
      </c>
      <c r="D33" s="27" t="s">
        <v>44</v>
      </c>
      <c r="E33" s="26" t="n">
        <v>2009</v>
      </c>
      <c r="F33" s="28" t="n">
        <v>6833.75</v>
      </c>
      <c r="G33" s="29" t="n">
        <v>1</v>
      </c>
      <c r="H33" s="30" t="n">
        <v>630</v>
      </c>
    </row>
    <row r="34" s="31" customFormat="true" ht="13.8" hidden="false" customHeight="false" outlineLevel="0" collapsed="false">
      <c r="A34" s="25" t="n">
        <v>56</v>
      </c>
      <c r="B34" s="26" t="s">
        <v>32</v>
      </c>
      <c r="C34" s="26" t="str">
        <f aca="false">"0864536"</f>
        <v>0864536</v>
      </c>
      <c r="D34" s="27" t="s">
        <v>45</v>
      </c>
      <c r="E34" s="26" t="n">
        <v>1971</v>
      </c>
      <c r="F34" s="28" t="n">
        <v>656.21</v>
      </c>
      <c r="G34" s="29" t="n">
        <v>1</v>
      </c>
      <c r="H34" s="30" t="n">
        <v>20</v>
      </c>
    </row>
    <row r="35" s="31" customFormat="true" ht="13.8" hidden="false" customHeight="false" outlineLevel="0" collapsed="false">
      <c r="A35" s="25" t="n">
        <v>57</v>
      </c>
      <c r="B35" s="26" t="s">
        <v>32</v>
      </c>
      <c r="C35" s="26" t="str">
        <f aca="false">"0871710"</f>
        <v>0871710</v>
      </c>
      <c r="D35" s="27" t="s">
        <v>46</v>
      </c>
      <c r="E35" s="26" t="n">
        <v>1986</v>
      </c>
      <c r="F35" s="28" t="n">
        <v>610.25</v>
      </c>
      <c r="G35" s="29" t="n">
        <v>1</v>
      </c>
      <c r="H35" s="30" t="n">
        <v>25</v>
      </c>
    </row>
    <row r="36" s="31" customFormat="true" ht="13.8" hidden="false" customHeight="false" outlineLevel="0" collapsed="false">
      <c r="A36" s="25" t="n">
        <v>58</v>
      </c>
      <c r="B36" s="26" t="s">
        <v>32</v>
      </c>
      <c r="C36" s="26" t="str">
        <f aca="false">"0865087"</f>
        <v>0865087</v>
      </c>
      <c r="D36" s="27" t="s">
        <v>45</v>
      </c>
      <c r="E36" s="26" t="n">
        <v>1972</v>
      </c>
      <c r="F36" s="28" t="n">
        <v>335.76</v>
      </c>
      <c r="G36" s="29" t="n">
        <v>1</v>
      </c>
      <c r="H36" s="30" t="n">
        <v>10</v>
      </c>
    </row>
    <row r="37" s="31" customFormat="true" ht="13.8" hidden="false" customHeight="false" outlineLevel="0" collapsed="false">
      <c r="A37" s="25" t="n">
        <v>59</v>
      </c>
      <c r="B37" s="26" t="s">
        <v>32</v>
      </c>
      <c r="C37" s="26" t="str">
        <f aca="false">"0865095"</f>
        <v>0865095</v>
      </c>
      <c r="D37" s="27" t="s">
        <v>45</v>
      </c>
      <c r="E37" s="26" t="n">
        <v>1972</v>
      </c>
      <c r="F37" s="28" t="n">
        <v>277.38</v>
      </c>
      <c r="G37" s="29" t="n">
        <v>1</v>
      </c>
      <c r="H37" s="30" t="n">
        <v>10</v>
      </c>
    </row>
    <row r="38" s="31" customFormat="true" ht="13.8" hidden="false" customHeight="false" outlineLevel="0" collapsed="false">
      <c r="A38" s="32" t="n">
        <v>60</v>
      </c>
      <c r="B38" s="26" t="s">
        <v>32</v>
      </c>
      <c r="C38" s="26" t="str">
        <f aca="false">"0865109"</f>
        <v>0865109</v>
      </c>
      <c r="D38" s="27" t="s">
        <v>34</v>
      </c>
      <c r="E38" s="26" t="n">
        <v>1972</v>
      </c>
      <c r="F38" s="28" t="n">
        <v>277.38</v>
      </c>
      <c r="G38" s="29" t="n">
        <v>1</v>
      </c>
      <c r="H38" s="30" t="n">
        <v>10</v>
      </c>
    </row>
    <row r="39" s="31" customFormat="true" ht="13.8" hidden="false" customHeight="false" outlineLevel="0" collapsed="false">
      <c r="A39" s="25" t="n">
        <v>68</v>
      </c>
      <c r="B39" s="26" t="s">
        <v>32</v>
      </c>
      <c r="C39" s="26" t="str">
        <f aca="false">"0873675"</f>
        <v>0873675</v>
      </c>
      <c r="D39" s="27" t="s">
        <v>47</v>
      </c>
      <c r="E39" s="26" t="n">
        <v>1999</v>
      </c>
      <c r="F39" s="28" t="n">
        <v>280</v>
      </c>
      <c r="G39" s="29" t="n">
        <v>1</v>
      </c>
      <c r="H39" s="30" t="n">
        <v>15</v>
      </c>
    </row>
    <row r="40" s="31" customFormat="true" ht="13.8" hidden="false" customHeight="false" outlineLevel="0" collapsed="false">
      <c r="A40" s="25" t="n">
        <v>69</v>
      </c>
      <c r="B40" s="26" t="s">
        <v>32</v>
      </c>
      <c r="C40" s="26" t="str">
        <f aca="false">"0873683"</f>
        <v>0873683</v>
      </c>
      <c r="D40" s="27" t="s">
        <v>48</v>
      </c>
      <c r="E40" s="26" t="n">
        <v>1999</v>
      </c>
      <c r="F40" s="28" t="n">
        <v>360</v>
      </c>
      <c r="G40" s="29" t="n">
        <v>1</v>
      </c>
      <c r="H40" s="30" t="n">
        <v>20</v>
      </c>
    </row>
    <row r="41" s="31" customFormat="true" ht="13.8" hidden="false" customHeight="false" outlineLevel="0" collapsed="false">
      <c r="A41" s="25" t="n">
        <v>70</v>
      </c>
      <c r="B41" s="26" t="s">
        <v>32</v>
      </c>
      <c r="C41" s="26" t="str">
        <f aca="false">"0873691"</f>
        <v>0873691</v>
      </c>
      <c r="D41" s="27" t="s">
        <v>49</v>
      </c>
      <c r="E41" s="26" t="n">
        <v>1999</v>
      </c>
      <c r="F41" s="28" t="n">
        <v>300</v>
      </c>
      <c r="G41" s="29" t="n">
        <v>1</v>
      </c>
      <c r="H41" s="30" t="n">
        <v>15</v>
      </c>
    </row>
    <row r="42" s="31" customFormat="true" ht="13.8" hidden="false" customHeight="false" outlineLevel="0" collapsed="false">
      <c r="A42" s="25" t="n">
        <v>71</v>
      </c>
      <c r="B42" s="26" t="s">
        <v>32</v>
      </c>
      <c r="C42" s="26" t="str">
        <f aca="false">"0873705"</f>
        <v>0873705</v>
      </c>
      <c r="D42" s="27" t="s">
        <v>50</v>
      </c>
      <c r="E42" s="26" t="n">
        <v>1999</v>
      </c>
      <c r="F42" s="28" t="n">
        <v>250</v>
      </c>
      <c r="G42" s="29" t="n">
        <v>1</v>
      </c>
      <c r="H42" s="30" t="n">
        <v>15</v>
      </c>
    </row>
    <row r="43" s="31" customFormat="true" ht="13.8" hidden="false" customHeight="false" outlineLevel="0" collapsed="false">
      <c r="A43" s="25" t="n">
        <v>72</v>
      </c>
      <c r="B43" s="26" t="s">
        <v>32</v>
      </c>
      <c r="C43" s="26" t="str">
        <f aca="false">"0873730"</f>
        <v>0873730</v>
      </c>
      <c r="D43" s="27" t="s">
        <v>51</v>
      </c>
      <c r="E43" s="26" t="n">
        <v>1999</v>
      </c>
      <c r="F43" s="28" t="n">
        <v>340</v>
      </c>
      <c r="G43" s="29" t="n">
        <v>2</v>
      </c>
      <c r="H43" s="30" t="n">
        <v>40</v>
      </c>
    </row>
    <row r="44" s="31" customFormat="true" ht="13.8" hidden="false" customHeight="false" outlineLevel="0" collapsed="false">
      <c r="A44" s="25" t="n">
        <v>77</v>
      </c>
      <c r="B44" s="26" t="s">
        <v>32</v>
      </c>
      <c r="C44" s="26" t="str">
        <f aca="false">"0919497"</f>
        <v>0919497</v>
      </c>
      <c r="D44" s="27" t="s">
        <v>52</v>
      </c>
      <c r="E44" s="26" t="n">
        <v>2017</v>
      </c>
      <c r="F44" s="28" t="n">
        <v>1559.55</v>
      </c>
      <c r="G44" s="29" t="n">
        <v>1</v>
      </c>
      <c r="H44" s="30" t="n">
        <v>740</v>
      </c>
    </row>
    <row r="45" s="31" customFormat="true" ht="13.8" hidden="false" customHeight="false" outlineLevel="0" collapsed="false">
      <c r="A45" s="25" t="n">
        <v>78</v>
      </c>
      <c r="B45" s="26" t="s">
        <v>32</v>
      </c>
      <c r="C45" s="26" t="s">
        <v>23</v>
      </c>
      <c r="D45" s="27" t="s">
        <v>53</v>
      </c>
      <c r="E45" s="26" t="n">
        <v>1983</v>
      </c>
      <c r="F45" s="28" t="n">
        <v>650</v>
      </c>
      <c r="G45" s="29" t="n">
        <v>1</v>
      </c>
      <c r="H45" s="30" t="n">
        <v>25</v>
      </c>
    </row>
    <row r="46" s="31" customFormat="true" ht="13.8" hidden="false" customHeight="false" outlineLevel="0" collapsed="false">
      <c r="A46" s="32" t="n">
        <v>79</v>
      </c>
      <c r="B46" s="26" t="s">
        <v>32</v>
      </c>
      <c r="C46" s="26" t="s">
        <v>23</v>
      </c>
      <c r="D46" s="27" t="s">
        <v>54</v>
      </c>
      <c r="E46" s="26" t="n">
        <v>1983</v>
      </c>
      <c r="F46" s="28" t="n">
        <v>280</v>
      </c>
      <c r="G46" s="29" t="n">
        <v>1</v>
      </c>
      <c r="H46" s="30" t="n">
        <v>10</v>
      </c>
    </row>
    <row r="47" s="31" customFormat="true" ht="13.8" hidden="false" customHeight="false" outlineLevel="0" collapsed="false">
      <c r="A47" s="33" t="n">
        <v>81</v>
      </c>
      <c r="B47" s="26" t="s">
        <v>32</v>
      </c>
      <c r="C47" s="26" t="s">
        <v>23</v>
      </c>
      <c r="D47" s="27" t="s">
        <v>55</v>
      </c>
      <c r="E47" s="26" t="n">
        <v>1983</v>
      </c>
      <c r="F47" s="28" t="n">
        <v>120</v>
      </c>
      <c r="G47" s="29" t="n">
        <v>12</v>
      </c>
      <c r="H47" s="30" t="n">
        <v>60</v>
      </c>
    </row>
    <row r="48" s="31" customFormat="true" ht="13.8" hidden="false" customHeight="false" outlineLevel="0" collapsed="false">
      <c r="A48" s="25" t="n">
        <v>82</v>
      </c>
      <c r="B48" s="26" t="s">
        <v>32</v>
      </c>
      <c r="C48" s="26" t="s">
        <v>23</v>
      </c>
      <c r="D48" s="27" t="s">
        <v>56</v>
      </c>
      <c r="E48" s="26" t="n">
        <v>2013</v>
      </c>
      <c r="F48" s="28" t="n">
        <v>5200</v>
      </c>
      <c r="G48" s="29" t="n">
        <v>2</v>
      </c>
      <c r="H48" s="30" t="n">
        <v>1060</v>
      </c>
    </row>
    <row r="49" s="31" customFormat="true" ht="13.8" hidden="false" customHeight="false" outlineLevel="0" collapsed="false">
      <c r="A49" s="25" t="n">
        <v>83</v>
      </c>
      <c r="B49" s="26" t="s">
        <v>32</v>
      </c>
      <c r="C49" s="26" t="s">
        <v>23</v>
      </c>
      <c r="D49" s="27" t="s">
        <v>57</v>
      </c>
      <c r="E49" s="26" t="n">
        <v>2013</v>
      </c>
      <c r="F49" s="28" t="n">
        <v>1500</v>
      </c>
      <c r="G49" s="29" t="n">
        <v>2</v>
      </c>
      <c r="H49" s="30" t="n">
        <v>600</v>
      </c>
    </row>
    <row r="50" s="31" customFormat="true" ht="13.8" hidden="false" customHeight="false" outlineLevel="0" collapsed="false">
      <c r="A50" s="25" t="n">
        <v>84</v>
      </c>
      <c r="B50" s="26" t="s">
        <v>32</v>
      </c>
      <c r="C50" s="26" t="s">
        <v>23</v>
      </c>
      <c r="D50" s="27" t="s">
        <v>58</v>
      </c>
      <c r="E50" s="26" t="n">
        <v>2013</v>
      </c>
      <c r="F50" s="28" t="n">
        <v>5300</v>
      </c>
      <c r="G50" s="29" t="n">
        <v>1</v>
      </c>
      <c r="H50" s="30" t="n">
        <v>540</v>
      </c>
    </row>
    <row r="51" s="31" customFormat="true" ht="13.8" hidden="false" customHeight="false" outlineLevel="0" collapsed="false">
      <c r="A51" s="25" t="n">
        <v>85</v>
      </c>
      <c r="B51" s="26" t="s">
        <v>32</v>
      </c>
      <c r="C51" s="26" t="s">
        <v>23</v>
      </c>
      <c r="D51" s="27" t="s">
        <v>59</v>
      </c>
      <c r="E51" s="26" t="n">
        <v>2013</v>
      </c>
      <c r="F51" s="28" t="n">
        <v>3500</v>
      </c>
      <c r="G51" s="29" t="n">
        <v>1</v>
      </c>
      <c r="H51" s="30" t="n">
        <v>700</v>
      </c>
    </row>
    <row r="52" s="31" customFormat="true" ht="13.8" hidden="false" customHeight="false" outlineLevel="0" collapsed="false">
      <c r="A52" s="25" t="n">
        <v>86</v>
      </c>
      <c r="B52" s="26" t="s">
        <v>32</v>
      </c>
      <c r="C52" s="26" t="s">
        <v>23</v>
      </c>
      <c r="D52" s="27" t="s">
        <v>60</v>
      </c>
      <c r="E52" s="26" t="n">
        <v>2013</v>
      </c>
      <c r="F52" s="28" t="n">
        <v>6500</v>
      </c>
      <c r="G52" s="29" t="n">
        <v>1</v>
      </c>
      <c r="H52" s="30" t="n">
        <v>1300</v>
      </c>
    </row>
    <row r="53" s="31" customFormat="true" ht="13.8" hidden="false" customHeight="false" outlineLevel="0" collapsed="false">
      <c r="A53" s="25" t="n">
        <v>87</v>
      </c>
      <c r="B53" s="26" t="s">
        <v>32</v>
      </c>
      <c r="C53" s="26" t="s">
        <v>23</v>
      </c>
      <c r="D53" s="27" t="s">
        <v>61</v>
      </c>
      <c r="E53" s="26" t="n">
        <v>2013</v>
      </c>
      <c r="F53" s="28" t="n">
        <v>4200</v>
      </c>
      <c r="G53" s="29" t="n">
        <v>1</v>
      </c>
      <c r="H53" s="30" t="n">
        <v>840</v>
      </c>
    </row>
    <row r="54" s="31" customFormat="true" ht="13.8" hidden="false" customHeight="false" outlineLevel="0" collapsed="false">
      <c r="A54" s="25" t="n">
        <v>88</v>
      </c>
      <c r="B54" s="26" t="s">
        <v>32</v>
      </c>
      <c r="C54" s="26" t="s">
        <v>23</v>
      </c>
      <c r="D54" s="27" t="s">
        <v>62</v>
      </c>
      <c r="E54" s="26" t="n">
        <v>2013</v>
      </c>
      <c r="F54" s="28" t="n">
        <v>6700</v>
      </c>
      <c r="G54" s="29" t="n">
        <v>1</v>
      </c>
      <c r="H54" s="30" t="n">
        <v>1340</v>
      </c>
    </row>
    <row r="55" s="31" customFormat="true" ht="13.8" hidden="false" customHeight="false" outlineLevel="0" collapsed="false">
      <c r="A55" s="25" t="n">
        <v>89</v>
      </c>
      <c r="B55" s="26" t="s">
        <v>32</v>
      </c>
      <c r="C55" s="26" t="s">
        <v>23</v>
      </c>
      <c r="D55" s="27" t="s">
        <v>63</v>
      </c>
      <c r="E55" s="26" t="n">
        <v>2013</v>
      </c>
      <c r="F55" s="28" t="n">
        <v>850</v>
      </c>
      <c r="G55" s="29" t="n">
        <v>1</v>
      </c>
      <c r="H55" s="30" t="n">
        <v>190</v>
      </c>
    </row>
    <row r="56" s="31" customFormat="true" ht="13.8" hidden="false" customHeight="false" outlineLevel="0" collapsed="false">
      <c r="A56" s="25" t="n">
        <v>90</v>
      </c>
      <c r="B56" s="26" t="s">
        <v>32</v>
      </c>
      <c r="C56" s="26" t="s">
        <v>23</v>
      </c>
      <c r="D56" s="27" t="s">
        <v>64</v>
      </c>
      <c r="E56" s="26" t="n">
        <v>1983</v>
      </c>
      <c r="F56" s="28" t="n">
        <v>150</v>
      </c>
      <c r="G56" s="29" t="n">
        <v>1</v>
      </c>
      <c r="H56" s="30" t="n">
        <v>5</v>
      </c>
    </row>
    <row r="57" s="31" customFormat="true" ht="13.8" hidden="false" customHeight="false" outlineLevel="0" collapsed="false">
      <c r="A57" s="25" t="n">
        <v>91</v>
      </c>
      <c r="B57" s="26" t="s">
        <v>65</v>
      </c>
      <c r="C57" s="26" t="str">
        <f aca="false">"0047112"</f>
        <v>0047112</v>
      </c>
      <c r="D57" s="27" t="s">
        <v>33</v>
      </c>
      <c r="E57" s="26" t="n">
        <v>1972</v>
      </c>
      <c r="F57" s="28" t="n">
        <v>809.53</v>
      </c>
      <c r="G57" s="29" t="n">
        <v>1</v>
      </c>
      <c r="H57" s="30" t="n">
        <v>20</v>
      </c>
    </row>
    <row r="58" s="31" customFormat="true" ht="13.8" hidden="false" customHeight="false" outlineLevel="0" collapsed="false">
      <c r="A58" s="25" t="n">
        <v>93</v>
      </c>
      <c r="B58" s="26" t="s">
        <v>65</v>
      </c>
      <c r="C58" s="26" t="str">
        <f aca="false">"0047376"</f>
        <v>0047376</v>
      </c>
      <c r="D58" s="27" t="s">
        <v>43</v>
      </c>
      <c r="E58" s="26" t="n">
        <v>1978</v>
      </c>
      <c r="F58" s="28" t="n">
        <v>1348.71</v>
      </c>
      <c r="G58" s="29" t="n">
        <v>2</v>
      </c>
      <c r="H58" s="30" t="n">
        <v>100</v>
      </c>
    </row>
    <row r="59" s="31" customFormat="true" ht="13.8" hidden="false" customHeight="false" outlineLevel="0" collapsed="false">
      <c r="A59" s="25" t="n">
        <v>94</v>
      </c>
      <c r="B59" s="26" t="s">
        <v>65</v>
      </c>
      <c r="C59" s="26" t="str">
        <f aca="false">"0047447"</f>
        <v>0047447</v>
      </c>
      <c r="D59" s="27" t="s">
        <v>66</v>
      </c>
      <c r="E59" s="26" t="n">
        <v>1991</v>
      </c>
      <c r="F59" s="28" t="n">
        <v>828.02</v>
      </c>
      <c r="G59" s="29" t="n">
        <v>1</v>
      </c>
      <c r="H59" s="30" t="n">
        <v>40</v>
      </c>
    </row>
    <row r="60" s="31" customFormat="true" ht="13.8" hidden="false" customHeight="false" outlineLevel="0" collapsed="false">
      <c r="A60" s="25" t="n">
        <v>96</v>
      </c>
      <c r="B60" s="26" t="s">
        <v>65</v>
      </c>
      <c r="C60" s="26" t="str">
        <f aca="false">"0047756"</f>
        <v>0047756</v>
      </c>
      <c r="D60" s="27" t="s">
        <v>43</v>
      </c>
      <c r="E60" s="26" t="n">
        <v>1979</v>
      </c>
      <c r="F60" s="28" t="n">
        <v>908.62</v>
      </c>
      <c r="G60" s="29" t="n">
        <v>1</v>
      </c>
      <c r="H60" s="30" t="n">
        <v>30</v>
      </c>
    </row>
    <row r="61" s="31" customFormat="true" ht="13.8" hidden="false" customHeight="false" outlineLevel="0" collapsed="false">
      <c r="A61" s="25" t="n">
        <v>98</v>
      </c>
      <c r="B61" s="26" t="s">
        <v>65</v>
      </c>
      <c r="C61" s="26" t="str">
        <f aca="false">"0047773"</f>
        <v>0047773</v>
      </c>
      <c r="D61" s="27" t="s">
        <v>67</v>
      </c>
      <c r="E61" s="26" t="n">
        <v>1970</v>
      </c>
      <c r="F61" s="28" t="n">
        <v>1050.89</v>
      </c>
      <c r="G61" s="29" t="n">
        <v>3</v>
      </c>
      <c r="H61" s="30" t="n">
        <v>90</v>
      </c>
    </row>
    <row r="62" s="31" customFormat="true" ht="13.8" hidden="false" customHeight="false" outlineLevel="0" collapsed="false">
      <c r="A62" s="25" t="n">
        <v>99</v>
      </c>
      <c r="B62" s="26" t="s">
        <v>65</v>
      </c>
      <c r="C62" s="26" t="str">
        <f aca="false">"0047967"</f>
        <v>0047967</v>
      </c>
      <c r="D62" s="27" t="s">
        <v>68</v>
      </c>
      <c r="E62" s="26" t="n">
        <v>1970</v>
      </c>
      <c r="F62" s="28" t="n">
        <v>700.23</v>
      </c>
      <c r="G62" s="29" t="n">
        <v>12</v>
      </c>
      <c r="H62" s="30" t="n">
        <v>240</v>
      </c>
    </row>
    <row r="63" s="31" customFormat="true" ht="13.8" hidden="false" customHeight="false" outlineLevel="0" collapsed="false">
      <c r="A63" s="25" t="n">
        <v>100</v>
      </c>
      <c r="B63" s="26" t="s">
        <v>65</v>
      </c>
      <c r="C63" s="26" t="str">
        <f aca="false">"0047992"</f>
        <v>0047992</v>
      </c>
      <c r="D63" s="27" t="s">
        <v>27</v>
      </c>
      <c r="E63" s="26" t="n">
        <v>1970</v>
      </c>
      <c r="F63" s="28" t="n">
        <v>262.62</v>
      </c>
      <c r="G63" s="29" t="n">
        <v>1</v>
      </c>
      <c r="H63" s="30" t="n">
        <v>10</v>
      </c>
    </row>
    <row r="64" s="31" customFormat="true" ht="13.8" hidden="false" customHeight="false" outlineLevel="0" collapsed="false">
      <c r="A64" s="25" t="n">
        <v>101</v>
      </c>
      <c r="B64" s="26" t="s">
        <v>65</v>
      </c>
      <c r="C64" s="26" t="str">
        <f aca="false">"0047997"</f>
        <v>0047997</v>
      </c>
      <c r="D64" s="27" t="s">
        <v>69</v>
      </c>
      <c r="E64" s="26" t="n">
        <v>1970</v>
      </c>
      <c r="F64" s="28" t="n">
        <v>721.21</v>
      </c>
      <c r="G64" s="29" t="n">
        <v>1</v>
      </c>
      <c r="H64" s="30" t="n">
        <v>20</v>
      </c>
    </row>
    <row r="65" s="31" customFormat="true" ht="13.8" hidden="false" customHeight="false" outlineLevel="0" collapsed="false">
      <c r="A65" s="25" t="n">
        <v>103</v>
      </c>
      <c r="B65" s="26" t="s">
        <v>65</v>
      </c>
      <c r="C65" s="26" t="str">
        <f aca="false">"0048036"</f>
        <v>0048036</v>
      </c>
      <c r="D65" s="27" t="s">
        <v>70</v>
      </c>
      <c r="E65" s="26" t="n">
        <v>1983</v>
      </c>
      <c r="F65" s="28" t="n">
        <v>1154.67</v>
      </c>
      <c r="G65" s="29" t="n">
        <v>2</v>
      </c>
      <c r="H65" s="30" t="n">
        <v>60</v>
      </c>
    </row>
    <row r="66" s="31" customFormat="true" ht="13.8" hidden="false" customHeight="false" outlineLevel="0" collapsed="false">
      <c r="A66" s="25" t="n">
        <v>104</v>
      </c>
      <c r="B66" s="26" t="s">
        <v>65</v>
      </c>
      <c r="C66" s="26" t="str">
        <f aca="false">"0048077"</f>
        <v>0048077</v>
      </c>
      <c r="D66" s="27" t="s">
        <v>71</v>
      </c>
      <c r="E66" s="26" t="n">
        <v>2002</v>
      </c>
      <c r="F66" s="28" t="n">
        <v>7040</v>
      </c>
      <c r="G66" s="29" t="n">
        <v>3</v>
      </c>
      <c r="H66" s="30" t="n">
        <v>1260</v>
      </c>
    </row>
    <row r="67" s="31" customFormat="true" ht="13.8" hidden="false" customHeight="false" outlineLevel="0" collapsed="false">
      <c r="A67" s="25" t="n">
        <v>105</v>
      </c>
      <c r="B67" s="26" t="s">
        <v>65</v>
      </c>
      <c r="C67" s="26" t="str">
        <f aca="false">"0048083"</f>
        <v>0048083</v>
      </c>
      <c r="D67" s="27" t="s">
        <v>72</v>
      </c>
      <c r="E67" s="26" t="n">
        <v>2002</v>
      </c>
      <c r="F67" s="28" t="n">
        <v>6000</v>
      </c>
      <c r="G67" s="29" t="n">
        <v>1</v>
      </c>
      <c r="H67" s="30" t="n">
        <v>360</v>
      </c>
    </row>
    <row r="68" s="31" customFormat="true" ht="13.8" hidden="false" customHeight="false" outlineLevel="0" collapsed="false">
      <c r="A68" s="25" t="n">
        <v>107</v>
      </c>
      <c r="B68" s="26" t="s">
        <v>65</v>
      </c>
      <c r="C68" s="26" t="str">
        <f aca="false">"0048142"</f>
        <v>0048142</v>
      </c>
      <c r="D68" s="27" t="s">
        <v>41</v>
      </c>
      <c r="E68" s="26" t="n">
        <v>1984</v>
      </c>
      <c r="F68" s="28" t="n">
        <v>395.38</v>
      </c>
      <c r="G68" s="29" t="n">
        <v>1</v>
      </c>
      <c r="H68" s="30" t="n">
        <v>20</v>
      </c>
    </row>
    <row r="69" s="31" customFormat="true" ht="13.8" hidden="false" customHeight="false" outlineLevel="0" collapsed="false">
      <c r="A69" s="25" t="n">
        <v>111</v>
      </c>
      <c r="B69" s="26" t="s">
        <v>65</v>
      </c>
      <c r="C69" s="26" t="str">
        <f aca="false">"0048212"</f>
        <v>0048212</v>
      </c>
      <c r="D69" s="27" t="s">
        <v>41</v>
      </c>
      <c r="E69" s="26" t="n">
        <v>1984</v>
      </c>
      <c r="F69" s="28" t="n">
        <v>790.9</v>
      </c>
      <c r="G69" s="29" t="n">
        <v>7</v>
      </c>
      <c r="H69" s="30" t="n">
        <v>210</v>
      </c>
    </row>
    <row r="70" s="31" customFormat="true" ht="13.8" hidden="false" customHeight="false" outlineLevel="0" collapsed="false">
      <c r="A70" s="25" t="n">
        <v>112</v>
      </c>
      <c r="B70" s="26" t="s">
        <v>65</v>
      </c>
      <c r="C70" s="26" t="str">
        <f aca="false">"0048220"</f>
        <v>0048220</v>
      </c>
      <c r="D70" s="27" t="s">
        <v>73</v>
      </c>
      <c r="E70" s="26" t="n">
        <v>1984</v>
      </c>
      <c r="F70" s="28" t="n">
        <v>355.91</v>
      </c>
      <c r="G70" s="29" t="n">
        <v>1</v>
      </c>
      <c r="H70" s="30" t="n">
        <v>15</v>
      </c>
    </row>
    <row r="71" s="31" customFormat="true" ht="13.8" hidden="false" customHeight="false" outlineLevel="0" collapsed="false">
      <c r="A71" s="25" t="n">
        <v>114</v>
      </c>
      <c r="B71" s="26" t="s">
        <v>65</v>
      </c>
      <c r="C71" s="26" t="str">
        <f aca="false">"0048328"</f>
        <v>0048328</v>
      </c>
      <c r="D71" s="27" t="s">
        <v>41</v>
      </c>
      <c r="E71" s="26" t="n">
        <v>1971</v>
      </c>
      <c r="F71" s="28" t="n">
        <v>95.49</v>
      </c>
      <c r="G71" s="29" t="n">
        <v>1</v>
      </c>
      <c r="H71" s="30" t="n">
        <v>5</v>
      </c>
    </row>
    <row r="72" s="31" customFormat="true" ht="13.8" hidden="false" customHeight="false" outlineLevel="0" collapsed="false">
      <c r="A72" s="25" t="n">
        <v>115</v>
      </c>
      <c r="B72" s="26" t="s">
        <v>65</v>
      </c>
      <c r="C72" s="26" t="str">
        <f aca="false">"0048424"</f>
        <v>0048424</v>
      </c>
      <c r="D72" s="27" t="s">
        <v>74</v>
      </c>
      <c r="E72" s="26" t="n">
        <v>1971</v>
      </c>
      <c r="F72" s="28" t="n">
        <v>706.03</v>
      </c>
      <c r="G72" s="29" t="n">
        <v>4</v>
      </c>
      <c r="H72" s="30" t="n">
        <v>60</v>
      </c>
    </row>
    <row r="73" s="31" customFormat="true" ht="13.8" hidden="false" customHeight="false" outlineLevel="0" collapsed="false">
      <c r="A73" s="25" t="n">
        <v>118</v>
      </c>
      <c r="B73" s="26" t="s">
        <v>65</v>
      </c>
      <c r="C73" s="26" t="str">
        <f aca="false">"0048609"</f>
        <v>0048609</v>
      </c>
      <c r="D73" s="27" t="s">
        <v>75</v>
      </c>
      <c r="E73" s="26" t="n">
        <v>1987</v>
      </c>
      <c r="F73" s="28" t="n">
        <v>1087.61</v>
      </c>
      <c r="G73" s="29" t="n">
        <v>2</v>
      </c>
      <c r="H73" s="30" t="n">
        <v>60</v>
      </c>
    </row>
    <row r="74" s="31" customFormat="true" ht="13.8" hidden="false" customHeight="false" outlineLevel="0" collapsed="false">
      <c r="A74" s="25" t="n">
        <v>119</v>
      </c>
      <c r="B74" s="26" t="s">
        <v>65</v>
      </c>
      <c r="C74" s="26" t="str">
        <f aca="false">"0048611"</f>
        <v>0048611</v>
      </c>
      <c r="D74" s="27" t="s">
        <v>43</v>
      </c>
      <c r="E74" s="26" t="n">
        <v>1987</v>
      </c>
      <c r="F74" s="28" t="n">
        <v>1418.68</v>
      </c>
      <c r="G74" s="29" t="n">
        <v>2</v>
      </c>
      <c r="H74" s="30" t="n">
        <v>60</v>
      </c>
    </row>
    <row r="75" s="31" customFormat="true" ht="13.8" hidden="false" customHeight="false" outlineLevel="0" collapsed="false">
      <c r="A75" s="25" t="n">
        <v>123</v>
      </c>
      <c r="B75" s="26" t="s">
        <v>65</v>
      </c>
      <c r="C75" s="26" t="str">
        <f aca="false">"0048861"</f>
        <v>0048861</v>
      </c>
      <c r="D75" s="27" t="s">
        <v>41</v>
      </c>
      <c r="E75" s="26" t="n">
        <v>1959</v>
      </c>
      <c r="F75" s="28" t="n">
        <f aca="false">379.1*1.2</f>
        <v>454.92</v>
      </c>
      <c r="G75" s="29" t="n">
        <v>2</v>
      </c>
      <c r="H75" s="30" t="n">
        <v>20</v>
      </c>
    </row>
    <row r="76" s="31" customFormat="true" ht="13.8" hidden="false" customHeight="false" outlineLevel="0" collapsed="false">
      <c r="A76" s="25" t="n">
        <v>124</v>
      </c>
      <c r="B76" s="26" t="s">
        <v>65</v>
      </c>
      <c r="C76" s="26" t="str">
        <f aca="false">"0048863"</f>
        <v>0048863</v>
      </c>
      <c r="D76" s="27" t="s">
        <v>76</v>
      </c>
      <c r="E76" s="26" t="n">
        <v>1959</v>
      </c>
      <c r="F76" s="28" t="n">
        <f aca="false">282.63*1.2</f>
        <v>339.156</v>
      </c>
      <c r="G76" s="29" t="n">
        <v>1</v>
      </c>
      <c r="H76" s="30" t="n">
        <v>10</v>
      </c>
    </row>
    <row r="77" s="31" customFormat="true" ht="13.8" hidden="false" customHeight="false" outlineLevel="0" collapsed="false">
      <c r="A77" s="25" t="n">
        <v>125</v>
      </c>
      <c r="B77" s="26" t="s">
        <v>65</v>
      </c>
      <c r="C77" s="26" t="str">
        <f aca="false">"0048866"</f>
        <v>0048866</v>
      </c>
      <c r="D77" s="27" t="s">
        <v>27</v>
      </c>
      <c r="E77" s="26" t="n">
        <v>1959</v>
      </c>
      <c r="F77" s="28" t="n">
        <f aca="false">237.65*1.2</f>
        <v>285.18</v>
      </c>
      <c r="G77" s="29" t="n">
        <v>1</v>
      </c>
      <c r="H77" s="30" t="n">
        <v>10</v>
      </c>
    </row>
    <row r="78" s="31" customFormat="true" ht="13.8" hidden="false" customHeight="false" outlineLevel="0" collapsed="false">
      <c r="A78" s="25" t="n">
        <v>126</v>
      </c>
      <c r="B78" s="26" t="s">
        <v>65</v>
      </c>
      <c r="C78" s="26" t="str">
        <f aca="false">"0048868"</f>
        <v>0048868</v>
      </c>
      <c r="D78" s="27" t="s">
        <v>41</v>
      </c>
      <c r="E78" s="26" t="n">
        <v>1959</v>
      </c>
      <c r="F78" s="28" t="n">
        <f aca="false">395.24*1.2</f>
        <v>474.288</v>
      </c>
      <c r="G78" s="29" t="n">
        <v>1</v>
      </c>
      <c r="H78" s="30" t="n">
        <v>10</v>
      </c>
    </row>
    <row r="79" s="31" customFormat="true" ht="13.8" hidden="false" customHeight="false" outlineLevel="0" collapsed="false">
      <c r="A79" s="25" t="n">
        <v>127</v>
      </c>
      <c r="B79" s="26" t="s">
        <v>65</v>
      </c>
      <c r="C79" s="26" t="str">
        <f aca="false">"0048873"</f>
        <v>0048873</v>
      </c>
      <c r="D79" s="27" t="s">
        <v>77</v>
      </c>
      <c r="E79" s="26" t="n">
        <v>1960</v>
      </c>
      <c r="F79" s="28" t="n">
        <f aca="false">95.37*1.2</f>
        <v>114.444</v>
      </c>
      <c r="G79" s="29" t="n">
        <v>1</v>
      </c>
      <c r="H79" s="30" t="n">
        <v>5</v>
      </c>
    </row>
    <row r="80" s="31" customFormat="true" ht="13.8" hidden="false" customHeight="false" outlineLevel="0" collapsed="false">
      <c r="A80" s="25" t="n">
        <v>128</v>
      </c>
      <c r="B80" s="26" t="s">
        <v>65</v>
      </c>
      <c r="C80" s="26" t="str">
        <f aca="false">"0048896"</f>
        <v>0048896</v>
      </c>
      <c r="D80" s="27" t="s">
        <v>43</v>
      </c>
      <c r="E80" s="26" t="n">
        <v>1963</v>
      </c>
      <c r="F80" s="28" t="n">
        <f aca="false">422.29*1.2</f>
        <v>506.748</v>
      </c>
      <c r="G80" s="29" t="n">
        <v>1</v>
      </c>
      <c r="H80" s="30" t="n">
        <v>10</v>
      </c>
    </row>
    <row r="81" s="31" customFormat="true" ht="13.8" hidden="false" customHeight="false" outlineLevel="0" collapsed="false">
      <c r="A81" s="25" t="n">
        <v>129</v>
      </c>
      <c r="B81" s="26" t="s">
        <v>65</v>
      </c>
      <c r="C81" s="26" t="str">
        <f aca="false">"0048897"</f>
        <v>0048897</v>
      </c>
      <c r="D81" s="27" t="s">
        <v>43</v>
      </c>
      <c r="E81" s="26" t="n">
        <v>1964</v>
      </c>
      <c r="F81" s="28" t="n">
        <f aca="false">676.08*1.2</f>
        <v>811.296</v>
      </c>
      <c r="G81" s="29" t="n">
        <v>2</v>
      </c>
      <c r="H81" s="30" t="n">
        <v>20</v>
      </c>
    </row>
    <row r="82" s="31" customFormat="true" ht="13.8" hidden="false" customHeight="false" outlineLevel="0" collapsed="false">
      <c r="A82" s="25" t="n">
        <v>131</v>
      </c>
      <c r="B82" s="26" t="s">
        <v>65</v>
      </c>
      <c r="C82" s="26" t="str">
        <f aca="false">"0048911"</f>
        <v>0048911</v>
      </c>
      <c r="D82" s="27" t="s">
        <v>43</v>
      </c>
      <c r="E82" s="26" t="n">
        <v>1967</v>
      </c>
      <c r="F82" s="28" t="n">
        <f aca="false">504.69*1.2</f>
        <v>605.628</v>
      </c>
      <c r="G82" s="29" t="n">
        <v>1</v>
      </c>
      <c r="H82" s="30" t="n">
        <v>15</v>
      </c>
    </row>
    <row r="83" s="31" customFormat="true" ht="13.8" hidden="false" customHeight="false" outlineLevel="0" collapsed="false">
      <c r="A83" s="25" t="n">
        <v>132</v>
      </c>
      <c r="B83" s="26" t="s">
        <v>65</v>
      </c>
      <c r="C83" s="26" t="str">
        <f aca="false">"0048916"</f>
        <v>0048916</v>
      </c>
      <c r="D83" s="27" t="s">
        <v>43</v>
      </c>
      <c r="E83" s="26" t="n">
        <v>1968</v>
      </c>
      <c r="F83" s="28" t="n">
        <f aca="false">264.49*1.2</f>
        <v>317.388</v>
      </c>
      <c r="G83" s="29" t="n">
        <v>1</v>
      </c>
      <c r="H83" s="30" t="n">
        <v>10</v>
      </c>
    </row>
    <row r="84" s="31" customFormat="true" ht="13.8" hidden="false" customHeight="false" outlineLevel="0" collapsed="false">
      <c r="A84" s="25" t="n">
        <v>133</v>
      </c>
      <c r="B84" s="26" t="s">
        <v>65</v>
      </c>
      <c r="C84" s="26" t="str">
        <f aca="false">"0048940"</f>
        <v>0048940</v>
      </c>
      <c r="D84" s="27" t="s">
        <v>78</v>
      </c>
      <c r="E84" s="26" t="n">
        <v>2016</v>
      </c>
      <c r="F84" s="28" t="n">
        <v>1637.58</v>
      </c>
      <c r="G84" s="29" t="n">
        <v>2</v>
      </c>
      <c r="H84" s="30" t="n">
        <v>1200</v>
      </c>
    </row>
    <row r="85" s="31" customFormat="true" ht="13.8" hidden="false" customHeight="false" outlineLevel="0" collapsed="false">
      <c r="A85" s="25" t="n">
        <v>134</v>
      </c>
      <c r="B85" s="26" t="s">
        <v>65</v>
      </c>
      <c r="C85" s="26" t="str">
        <f aca="false">"0048977"</f>
        <v>0048977</v>
      </c>
      <c r="D85" s="27" t="s">
        <v>79</v>
      </c>
      <c r="E85" s="26" t="n">
        <v>1999</v>
      </c>
      <c r="F85" s="28" t="n">
        <v>11300</v>
      </c>
      <c r="G85" s="29" t="n">
        <v>1</v>
      </c>
      <c r="H85" s="30" t="n">
        <v>615</v>
      </c>
    </row>
    <row r="86" s="31" customFormat="true" ht="13.8" hidden="false" customHeight="false" outlineLevel="0" collapsed="false">
      <c r="A86" s="25" t="n">
        <v>137</v>
      </c>
      <c r="B86" s="26" t="s">
        <v>65</v>
      </c>
      <c r="C86" s="26" t="str">
        <f aca="false">"0049053"</f>
        <v>0049053</v>
      </c>
      <c r="D86" s="27" t="s">
        <v>41</v>
      </c>
      <c r="E86" s="26" t="n">
        <v>1964</v>
      </c>
      <c r="F86" s="28" t="n">
        <f aca="false">338.04*1.2</f>
        <v>405.648</v>
      </c>
      <c r="G86" s="29" t="n">
        <v>1</v>
      </c>
      <c r="H86" s="30" t="n">
        <v>10</v>
      </c>
    </row>
    <row r="87" s="31" customFormat="true" ht="13.8" hidden="false" customHeight="false" outlineLevel="0" collapsed="false">
      <c r="A87" s="25" t="n">
        <v>138</v>
      </c>
      <c r="B87" s="26" t="s">
        <v>65</v>
      </c>
      <c r="C87" s="26" t="str">
        <f aca="false">"0049054"</f>
        <v>0049054</v>
      </c>
      <c r="D87" s="27" t="s">
        <v>41</v>
      </c>
      <c r="E87" s="26" t="n">
        <v>1965</v>
      </c>
      <c r="F87" s="28" t="n">
        <f aca="false">229.02*1.2</f>
        <v>274.824</v>
      </c>
      <c r="G87" s="29" t="n">
        <v>1</v>
      </c>
      <c r="H87" s="30" t="n">
        <v>10</v>
      </c>
    </row>
    <row r="88" s="31" customFormat="true" ht="13.8" hidden="false" customHeight="false" outlineLevel="0" collapsed="false">
      <c r="A88" s="25" t="n">
        <v>139</v>
      </c>
      <c r="B88" s="26" t="s">
        <v>65</v>
      </c>
      <c r="C88" s="26" t="str">
        <f aca="false">"0049055"</f>
        <v>0049055</v>
      </c>
      <c r="D88" s="27" t="s">
        <v>43</v>
      </c>
      <c r="E88" s="26" t="n">
        <v>1968</v>
      </c>
      <c r="F88" s="28" t="n">
        <f aca="false">264.48*1.2</f>
        <v>317.376</v>
      </c>
      <c r="G88" s="29" t="n">
        <v>1</v>
      </c>
      <c r="H88" s="30" t="n">
        <v>10</v>
      </c>
    </row>
    <row r="89" s="31" customFormat="true" ht="13.8" hidden="false" customHeight="false" outlineLevel="0" collapsed="false">
      <c r="A89" s="25" t="n">
        <v>141</v>
      </c>
      <c r="B89" s="26" t="s">
        <v>65</v>
      </c>
      <c r="C89" s="26" t="str">
        <f aca="false">"0049108"</f>
        <v>0049108</v>
      </c>
      <c r="D89" s="27" t="s">
        <v>80</v>
      </c>
      <c r="E89" s="26" t="n">
        <v>2006</v>
      </c>
      <c r="F89" s="28" t="n">
        <v>4022.48</v>
      </c>
      <c r="G89" s="29" t="n">
        <v>2</v>
      </c>
      <c r="H89" s="30" t="n">
        <v>480</v>
      </c>
    </row>
    <row r="90" s="31" customFormat="true" ht="13.8" hidden="false" customHeight="false" outlineLevel="0" collapsed="false">
      <c r="A90" s="25" t="n">
        <v>142</v>
      </c>
      <c r="B90" s="26" t="s">
        <v>65</v>
      </c>
      <c r="C90" s="26" t="str">
        <f aca="false">"0049111"</f>
        <v>0049111</v>
      </c>
      <c r="D90" s="27" t="s">
        <v>81</v>
      </c>
      <c r="E90" s="26" t="n">
        <v>2006</v>
      </c>
      <c r="F90" s="28" t="n">
        <v>4022.48</v>
      </c>
      <c r="G90" s="29" t="n">
        <v>2</v>
      </c>
      <c r="H90" s="30" t="n">
        <v>480</v>
      </c>
    </row>
    <row r="91" s="31" customFormat="true" ht="13.8" hidden="false" customHeight="false" outlineLevel="0" collapsed="false">
      <c r="A91" s="25" t="n">
        <v>143</v>
      </c>
      <c r="B91" s="26" t="s">
        <v>65</v>
      </c>
      <c r="C91" s="26" t="str">
        <f aca="false">"0049140"</f>
        <v>0049140</v>
      </c>
      <c r="D91" s="27" t="s">
        <v>26</v>
      </c>
      <c r="E91" s="26" t="n">
        <v>2007</v>
      </c>
      <c r="F91" s="28" t="n">
        <v>4159.2</v>
      </c>
      <c r="G91" s="29" t="n">
        <v>1</v>
      </c>
      <c r="H91" s="30" t="n">
        <v>250</v>
      </c>
    </row>
    <row r="92" s="31" customFormat="true" ht="13.8" hidden="false" customHeight="false" outlineLevel="0" collapsed="false">
      <c r="A92" s="25" t="n">
        <v>145</v>
      </c>
      <c r="B92" s="26" t="s">
        <v>65</v>
      </c>
      <c r="C92" s="26" t="str">
        <f aca="false">"0049167"</f>
        <v>0049167</v>
      </c>
      <c r="D92" s="27" t="s">
        <v>82</v>
      </c>
      <c r="E92" s="26" t="n">
        <v>2008</v>
      </c>
      <c r="F92" s="28" t="n">
        <v>101242.16</v>
      </c>
      <c r="G92" s="29" t="n">
        <v>1</v>
      </c>
      <c r="H92" s="30" t="n">
        <v>8430</v>
      </c>
    </row>
    <row r="93" s="31" customFormat="true" ht="13.8" hidden="false" customHeight="false" outlineLevel="0" collapsed="false">
      <c r="A93" s="25" t="n">
        <v>146</v>
      </c>
      <c r="B93" s="26" t="s">
        <v>83</v>
      </c>
      <c r="C93" s="26" t="str">
        <f aca="false">"0047129"</f>
        <v>0047129</v>
      </c>
      <c r="D93" s="27" t="s">
        <v>84</v>
      </c>
      <c r="E93" s="26" t="n">
        <v>1975</v>
      </c>
      <c r="F93" s="28" t="n">
        <v>3600.79</v>
      </c>
      <c r="G93" s="29" t="n">
        <v>1</v>
      </c>
      <c r="H93" s="30" t="n">
        <v>130</v>
      </c>
    </row>
    <row r="94" s="31" customFormat="true" ht="13.8" hidden="false" customHeight="false" outlineLevel="0" collapsed="false">
      <c r="A94" s="25" t="n">
        <v>153</v>
      </c>
      <c r="B94" s="26" t="s">
        <v>83</v>
      </c>
      <c r="C94" s="26" t="str">
        <f aca="false">"0049611"</f>
        <v>0049611</v>
      </c>
      <c r="D94" s="27" t="s">
        <v>52</v>
      </c>
      <c r="E94" s="26" t="n">
        <v>2018</v>
      </c>
      <c r="F94" s="28" t="n">
        <v>1559.55</v>
      </c>
      <c r="G94" s="29" t="n">
        <v>1</v>
      </c>
      <c r="H94" s="30" t="n">
        <v>890</v>
      </c>
    </row>
    <row r="95" s="31" customFormat="true" ht="13.8" hidden="false" customHeight="false" outlineLevel="0" collapsed="false">
      <c r="A95" s="25" t="n">
        <v>160</v>
      </c>
      <c r="B95" s="26" t="s">
        <v>83</v>
      </c>
      <c r="C95" s="26" t="s">
        <v>23</v>
      </c>
      <c r="D95" s="27" t="s">
        <v>85</v>
      </c>
      <c r="E95" s="26" t="n">
        <v>2007</v>
      </c>
      <c r="F95" s="28" t="n">
        <v>4680</v>
      </c>
      <c r="G95" s="29" t="n">
        <v>1</v>
      </c>
      <c r="H95" s="30" t="n">
        <v>290</v>
      </c>
    </row>
    <row r="96" s="31" customFormat="true" ht="13.8" hidden="false" customHeight="false" outlineLevel="0" collapsed="false">
      <c r="A96" s="25" t="n">
        <v>161</v>
      </c>
      <c r="B96" s="26" t="s">
        <v>83</v>
      </c>
      <c r="C96" s="26" t="s">
        <v>23</v>
      </c>
      <c r="D96" s="27" t="s">
        <v>86</v>
      </c>
      <c r="E96" s="26" t="n">
        <v>2013</v>
      </c>
      <c r="F96" s="28" t="n">
        <v>1650</v>
      </c>
      <c r="G96" s="29" t="n">
        <v>3</v>
      </c>
      <c r="H96" s="30" t="n">
        <v>510</v>
      </c>
    </row>
    <row r="97" s="31" customFormat="true" ht="13.8" hidden="false" customHeight="false" outlineLevel="0" collapsed="false">
      <c r="A97" s="25" t="n">
        <v>166</v>
      </c>
      <c r="B97" s="26" t="s">
        <v>87</v>
      </c>
      <c r="C97" s="26" t="str">
        <f aca="false">"0047338"</f>
        <v>0047338</v>
      </c>
      <c r="D97" s="27" t="s">
        <v>88</v>
      </c>
      <c r="E97" s="26" t="n">
        <v>1977</v>
      </c>
      <c r="F97" s="28" t="n">
        <v>746.6</v>
      </c>
      <c r="G97" s="29" t="n">
        <v>1</v>
      </c>
      <c r="H97" s="30" t="n">
        <v>30</v>
      </c>
    </row>
    <row r="98" s="31" customFormat="true" ht="13.8" hidden="false" customHeight="false" outlineLevel="0" collapsed="false">
      <c r="A98" s="25" t="n">
        <v>167</v>
      </c>
      <c r="B98" s="26" t="s">
        <v>87</v>
      </c>
      <c r="C98" s="26" t="str">
        <f aca="false">"0047903"</f>
        <v>0047903</v>
      </c>
      <c r="D98" s="27" t="s">
        <v>89</v>
      </c>
      <c r="E98" s="26" t="n">
        <v>1984</v>
      </c>
      <c r="F98" s="28" t="n">
        <v>677.46</v>
      </c>
      <c r="G98" s="29" t="n">
        <v>1</v>
      </c>
      <c r="H98" s="30" t="n">
        <v>30</v>
      </c>
    </row>
    <row r="99" s="31" customFormat="true" ht="13.8" hidden="false" customHeight="false" outlineLevel="0" collapsed="false">
      <c r="A99" s="25" t="n">
        <v>168</v>
      </c>
      <c r="B99" s="26" t="s">
        <v>87</v>
      </c>
      <c r="C99" s="26" t="str">
        <f aca="false">"0047918"</f>
        <v>0047918</v>
      </c>
      <c r="D99" s="27" t="s">
        <v>90</v>
      </c>
      <c r="E99" s="26" t="n">
        <v>1984</v>
      </c>
      <c r="F99" s="28" t="n">
        <v>598.8</v>
      </c>
      <c r="G99" s="29" t="n">
        <v>2</v>
      </c>
      <c r="H99" s="30" t="n">
        <v>50</v>
      </c>
    </row>
    <row r="100" s="31" customFormat="true" ht="13.8" hidden="false" customHeight="false" outlineLevel="0" collapsed="false">
      <c r="A100" s="25" t="n">
        <v>169</v>
      </c>
      <c r="B100" s="26" t="s">
        <v>87</v>
      </c>
      <c r="C100" s="26" t="str">
        <f aca="false">"0048018"</f>
        <v>0048018</v>
      </c>
      <c r="D100" s="27" t="s">
        <v>41</v>
      </c>
      <c r="E100" s="26" t="n">
        <v>1984</v>
      </c>
      <c r="F100" s="28" t="n">
        <v>484.25</v>
      </c>
      <c r="G100" s="29" t="n">
        <v>1</v>
      </c>
      <c r="H100" s="30" t="n">
        <v>20</v>
      </c>
    </row>
    <row r="101" s="31" customFormat="true" ht="13.8" hidden="false" customHeight="false" outlineLevel="0" collapsed="false">
      <c r="A101" s="25" t="n">
        <v>170</v>
      </c>
      <c r="B101" s="26" t="s">
        <v>87</v>
      </c>
      <c r="C101" s="26" t="str">
        <f aca="false">"0048223"</f>
        <v>0048223</v>
      </c>
      <c r="D101" s="27" t="s">
        <v>91</v>
      </c>
      <c r="E101" s="26" t="n">
        <v>1984</v>
      </c>
      <c r="F101" s="28" t="n">
        <v>3163.6</v>
      </c>
      <c r="G101" s="29" t="n">
        <v>1</v>
      </c>
      <c r="H101" s="30" t="n">
        <v>140</v>
      </c>
    </row>
    <row r="102" s="31" customFormat="true" ht="13.8" hidden="false" customHeight="false" outlineLevel="0" collapsed="false">
      <c r="A102" s="25" t="n">
        <v>171</v>
      </c>
      <c r="B102" s="26" t="s">
        <v>87</v>
      </c>
      <c r="C102" s="26" t="str">
        <f aca="false">"0048474"</f>
        <v>0048474</v>
      </c>
      <c r="D102" s="27" t="s">
        <v>92</v>
      </c>
      <c r="E102" s="26" t="n">
        <v>1986</v>
      </c>
      <c r="F102" s="28" t="n">
        <v>170.85</v>
      </c>
      <c r="G102" s="29" t="n">
        <v>1</v>
      </c>
      <c r="H102" s="30" t="n">
        <v>5</v>
      </c>
    </row>
    <row r="103" s="31" customFormat="true" ht="13.8" hidden="false" customHeight="false" outlineLevel="0" collapsed="false">
      <c r="A103" s="25" t="n">
        <v>173</v>
      </c>
      <c r="B103" s="26" t="s">
        <v>87</v>
      </c>
      <c r="C103" s="26" t="str">
        <f aca="false">"0048871"</f>
        <v>0048871</v>
      </c>
      <c r="D103" s="27" t="s">
        <v>88</v>
      </c>
      <c r="E103" s="26" t="n">
        <v>1960</v>
      </c>
      <c r="F103" s="28" t="n">
        <f aca="false">692.5*1.2</f>
        <v>831</v>
      </c>
      <c r="G103" s="29" t="n">
        <v>1</v>
      </c>
      <c r="H103" s="30" t="n">
        <v>15</v>
      </c>
    </row>
    <row r="104" s="31" customFormat="true" ht="13.8" hidden="false" customHeight="false" outlineLevel="0" collapsed="false">
      <c r="A104" s="25" t="n">
        <v>176</v>
      </c>
      <c r="B104" s="26" t="s">
        <v>87</v>
      </c>
      <c r="C104" s="26" t="str">
        <f aca="false">"0049120"</f>
        <v>0049120</v>
      </c>
      <c r="D104" s="27" t="s">
        <v>93</v>
      </c>
      <c r="E104" s="26" t="n">
        <v>2006</v>
      </c>
      <c r="F104" s="28" t="n">
        <v>8091.25</v>
      </c>
      <c r="G104" s="29" t="n">
        <v>1</v>
      </c>
      <c r="H104" s="30" t="n">
        <v>670</v>
      </c>
    </row>
    <row r="105" s="31" customFormat="true" ht="13.8" hidden="false" customHeight="false" outlineLevel="0" collapsed="false">
      <c r="A105" s="25" t="n">
        <v>177</v>
      </c>
      <c r="B105" s="26" t="s">
        <v>87</v>
      </c>
      <c r="C105" s="26" t="str">
        <f aca="false">"0049603"</f>
        <v>0049603</v>
      </c>
      <c r="D105" s="27" t="s">
        <v>52</v>
      </c>
      <c r="E105" s="26" t="n">
        <v>2018</v>
      </c>
      <c r="F105" s="28" t="n">
        <v>1559.55</v>
      </c>
      <c r="G105" s="29" t="n">
        <v>3</v>
      </c>
      <c r="H105" s="30" t="n">
        <v>2670</v>
      </c>
    </row>
    <row r="106" s="31" customFormat="true" ht="13.8" hidden="false" customHeight="false" outlineLevel="0" collapsed="false">
      <c r="A106" s="25" t="n">
        <v>178</v>
      </c>
      <c r="B106" s="26" t="s">
        <v>87</v>
      </c>
      <c r="C106" s="26" t="str">
        <f aca="false">"0038422"</f>
        <v>0038422</v>
      </c>
      <c r="D106" s="27" t="s">
        <v>94</v>
      </c>
      <c r="E106" s="26" t="n">
        <v>2008</v>
      </c>
      <c r="F106" s="28" t="n">
        <v>500</v>
      </c>
      <c r="G106" s="29" t="n">
        <v>1</v>
      </c>
      <c r="H106" s="30" t="n">
        <v>30</v>
      </c>
    </row>
    <row r="107" s="31" customFormat="true" ht="13.8" hidden="false" customHeight="false" outlineLevel="0" collapsed="false">
      <c r="A107" s="25" t="n">
        <v>179</v>
      </c>
      <c r="B107" s="26" t="s">
        <v>87</v>
      </c>
      <c r="C107" s="26" t="s">
        <v>23</v>
      </c>
      <c r="D107" s="27" t="s">
        <v>95</v>
      </c>
      <c r="E107" s="26" t="n">
        <v>2013</v>
      </c>
      <c r="F107" s="28" t="n">
        <v>1850</v>
      </c>
      <c r="G107" s="29" t="n">
        <v>1</v>
      </c>
      <c r="H107" s="30" t="n">
        <v>190</v>
      </c>
    </row>
    <row r="108" s="31" customFormat="true" ht="13.8" hidden="false" customHeight="false" outlineLevel="0" collapsed="false">
      <c r="A108" s="25" t="n">
        <v>180</v>
      </c>
      <c r="B108" s="26" t="s">
        <v>87</v>
      </c>
      <c r="C108" s="26" t="s">
        <v>23</v>
      </c>
      <c r="D108" s="27" t="s">
        <v>96</v>
      </c>
      <c r="E108" s="26" t="n">
        <v>2013</v>
      </c>
      <c r="F108" s="28" t="n">
        <v>2100</v>
      </c>
      <c r="G108" s="29" t="n">
        <v>1</v>
      </c>
      <c r="H108" s="30" t="n">
        <v>215</v>
      </c>
    </row>
    <row r="109" s="31" customFormat="true" ht="13.8" hidden="false" customHeight="false" outlineLevel="0" collapsed="false">
      <c r="A109" s="25" t="n">
        <v>182</v>
      </c>
      <c r="B109" s="26" t="s">
        <v>87</v>
      </c>
      <c r="C109" s="26" t="s">
        <v>23</v>
      </c>
      <c r="D109" s="27" t="s">
        <v>85</v>
      </c>
      <c r="E109" s="26" t="n">
        <v>2013</v>
      </c>
      <c r="F109" s="28" t="n">
        <v>4680</v>
      </c>
      <c r="G109" s="29" t="n">
        <v>1</v>
      </c>
      <c r="H109" s="30" t="n">
        <v>480</v>
      </c>
    </row>
    <row r="110" s="31" customFormat="true" ht="13.8" hidden="false" customHeight="false" outlineLevel="0" collapsed="false">
      <c r="A110" s="25" t="n">
        <v>183</v>
      </c>
      <c r="B110" s="26" t="s">
        <v>87</v>
      </c>
      <c r="C110" s="26" t="s">
        <v>23</v>
      </c>
      <c r="D110" s="27" t="s">
        <v>97</v>
      </c>
      <c r="E110" s="26" t="n">
        <v>2013</v>
      </c>
      <c r="F110" s="28" t="n">
        <v>2250</v>
      </c>
      <c r="G110" s="29" t="n">
        <v>1</v>
      </c>
      <c r="H110" s="30" t="n">
        <v>230</v>
      </c>
    </row>
    <row r="111" s="31" customFormat="true" ht="13.8" hidden="false" customHeight="false" outlineLevel="0" collapsed="false">
      <c r="A111" s="25" t="n">
        <v>185</v>
      </c>
      <c r="B111" s="26" t="s">
        <v>87</v>
      </c>
      <c r="C111" s="26" t="s">
        <v>23</v>
      </c>
      <c r="D111" s="27" t="s">
        <v>55</v>
      </c>
      <c r="E111" s="26" t="n">
        <v>1986</v>
      </c>
      <c r="F111" s="28" t="n">
        <v>120</v>
      </c>
      <c r="G111" s="29" t="n">
        <v>3</v>
      </c>
      <c r="H111" s="30" t="n">
        <v>15</v>
      </c>
    </row>
    <row r="112" s="31" customFormat="true" ht="13.8" hidden="false" customHeight="false" outlineLevel="0" collapsed="false">
      <c r="A112" s="25" t="n">
        <v>187</v>
      </c>
      <c r="B112" s="26" t="s">
        <v>87</v>
      </c>
      <c r="C112" s="26" t="s">
        <v>23</v>
      </c>
      <c r="D112" s="27" t="s">
        <v>98</v>
      </c>
      <c r="E112" s="26" t="n">
        <v>2013</v>
      </c>
      <c r="F112" s="28" t="n">
        <v>1860</v>
      </c>
      <c r="G112" s="29" t="n">
        <v>1</v>
      </c>
      <c r="H112" s="30" t="n">
        <v>190</v>
      </c>
    </row>
    <row r="113" s="31" customFormat="true" ht="14.25" hidden="false" customHeight="true" outlineLevel="0" collapsed="false">
      <c r="A113" s="25" t="n">
        <v>195</v>
      </c>
      <c r="B113" s="26" t="s">
        <v>99</v>
      </c>
      <c r="C113" s="26" t="s">
        <v>23</v>
      </c>
      <c r="D113" s="27" t="s">
        <v>85</v>
      </c>
      <c r="E113" s="26" t="n">
        <v>2013</v>
      </c>
      <c r="F113" s="28" t="n">
        <v>4680</v>
      </c>
      <c r="G113" s="29" t="n">
        <v>1</v>
      </c>
      <c r="H113" s="30" t="n">
        <v>480</v>
      </c>
    </row>
    <row r="114" s="31" customFormat="true" ht="13.8" hidden="false" customHeight="false" outlineLevel="0" collapsed="false">
      <c r="A114" s="25" t="n">
        <v>196</v>
      </c>
      <c r="B114" s="26" t="s">
        <v>21</v>
      </c>
      <c r="C114" s="26" t="str">
        <f aca="false">"0873080"</f>
        <v>0873080</v>
      </c>
      <c r="D114" s="27" t="s">
        <v>100</v>
      </c>
      <c r="E114" s="26" t="n">
        <v>1990</v>
      </c>
      <c r="F114" s="28" t="n">
        <v>276.01</v>
      </c>
      <c r="G114" s="29" t="n">
        <v>9</v>
      </c>
      <c r="H114" s="30" t="n">
        <v>135</v>
      </c>
    </row>
    <row r="115" s="31" customFormat="true" ht="13.8" hidden="false" customHeight="false" outlineLevel="0" collapsed="false">
      <c r="A115" s="25" t="n">
        <v>197</v>
      </c>
      <c r="B115" s="26" t="s">
        <v>21</v>
      </c>
      <c r="C115" s="26" t="str">
        <f aca="false">"0855286"</f>
        <v>0855286</v>
      </c>
      <c r="D115" s="27" t="s">
        <v>101</v>
      </c>
      <c r="E115" s="26" t="n">
        <v>1977</v>
      </c>
      <c r="F115" s="28" t="n">
        <v>8962.23</v>
      </c>
      <c r="G115" s="29" t="n">
        <v>1</v>
      </c>
      <c r="H115" s="30" t="n">
        <v>320</v>
      </c>
    </row>
    <row r="116" s="31" customFormat="true" ht="13.8" hidden="false" customHeight="false" outlineLevel="0" collapsed="false">
      <c r="A116" s="25" t="n">
        <v>198</v>
      </c>
      <c r="B116" s="26" t="s">
        <v>21</v>
      </c>
      <c r="C116" s="26" t="str">
        <f aca="false">"0855294"</f>
        <v>0855294</v>
      </c>
      <c r="D116" s="27" t="s">
        <v>102</v>
      </c>
      <c r="E116" s="26" t="n">
        <v>1980</v>
      </c>
      <c r="F116" s="28" t="n">
        <v>5810.51</v>
      </c>
      <c r="G116" s="29" t="n">
        <v>1</v>
      </c>
      <c r="H116" s="30" t="n">
        <v>225</v>
      </c>
    </row>
    <row r="117" s="31" customFormat="true" ht="13.8" hidden="false" customHeight="false" outlineLevel="0" collapsed="false">
      <c r="A117" s="25" t="n">
        <v>199</v>
      </c>
      <c r="B117" s="26" t="s">
        <v>21</v>
      </c>
      <c r="C117" s="26" t="str">
        <f aca="false">"0855324"</f>
        <v>0855324</v>
      </c>
      <c r="D117" s="27" t="s">
        <v>102</v>
      </c>
      <c r="E117" s="26" t="n">
        <v>1987</v>
      </c>
      <c r="F117" s="28" t="n">
        <v>3310.16</v>
      </c>
      <c r="G117" s="29" t="n">
        <v>1</v>
      </c>
      <c r="H117" s="30" t="n">
        <v>150</v>
      </c>
    </row>
    <row r="118" s="31" customFormat="true" ht="13.8" hidden="false" customHeight="false" outlineLevel="0" collapsed="false">
      <c r="A118" s="25" t="n">
        <v>200</v>
      </c>
      <c r="B118" s="26" t="s">
        <v>21</v>
      </c>
      <c r="C118" s="26" t="str">
        <f aca="false">"0865940"</f>
        <v>0865940</v>
      </c>
      <c r="D118" s="27" t="s">
        <v>41</v>
      </c>
      <c r="E118" s="26" t="n">
        <v>1976</v>
      </c>
      <c r="F118" s="28" t="n">
        <v>1181.31</v>
      </c>
      <c r="G118" s="29" t="n">
        <v>6</v>
      </c>
      <c r="H118" s="30" t="n">
        <v>240</v>
      </c>
    </row>
    <row r="119" s="31" customFormat="true" ht="13.8" hidden="false" customHeight="false" outlineLevel="0" collapsed="false">
      <c r="A119" s="25" t="n">
        <v>201</v>
      </c>
      <c r="B119" s="26" t="s">
        <v>21</v>
      </c>
      <c r="C119" s="26" t="str">
        <f aca="false">"0866326"</f>
        <v>0866326</v>
      </c>
      <c r="D119" s="27" t="s">
        <v>43</v>
      </c>
      <c r="E119" s="26" t="n">
        <v>1977</v>
      </c>
      <c r="F119" s="28" t="n">
        <v>1236.65</v>
      </c>
      <c r="G119" s="29" t="n">
        <v>1</v>
      </c>
      <c r="H119" s="30" t="n">
        <v>40</v>
      </c>
    </row>
    <row r="120" s="31" customFormat="true" ht="13.8" hidden="false" customHeight="false" outlineLevel="0" collapsed="false">
      <c r="A120" s="25" t="n">
        <v>202</v>
      </c>
      <c r="B120" s="26" t="s">
        <v>21</v>
      </c>
      <c r="C120" s="26" t="str">
        <f aca="false">"0866369"</f>
        <v>0866369</v>
      </c>
      <c r="D120" s="27" t="s">
        <v>88</v>
      </c>
      <c r="E120" s="26" t="n">
        <v>1977</v>
      </c>
      <c r="F120" s="28" t="n">
        <v>863.35</v>
      </c>
      <c r="G120" s="29" t="n">
        <v>2</v>
      </c>
      <c r="H120" s="30" t="n">
        <v>60</v>
      </c>
    </row>
    <row r="121" s="31" customFormat="true" ht="13.8" hidden="false" customHeight="false" outlineLevel="0" collapsed="false">
      <c r="A121" s="25" t="n">
        <v>203</v>
      </c>
      <c r="B121" s="26" t="s">
        <v>21</v>
      </c>
      <c r="C121" s="26" t="str">
        <f aca="false">"0866733"</f>
        <v>0866733</v>
      </c>
      <c r="D121" s="27" t="s">
        <v>43</v>
      </c>
      <c r="E121" s="26" t="n">
        <v>1978</v>
      </c>
      <c r="F121" s="28" t="n">
        <v>1265.5</v>
      </c>
      <c r="G121" s="29" t="n">
        <v>3</v>
      </c>
      <c r="H121" s="30" t="n">
        <v>150</v>
      </c>
    </row>
    <row r="122" s="31" customFormat="true" ht="13.8" hidden="false" customHeight="false" outlineLevel="0" collapsed="false">
      <c r="A122" s="25" t="n">
        <v>204</v>
      </c>
      <c r="B122" s="26" t="s">
        <v>21</v>
      </c>
      <c r="C122" s="26" t="str">
        <f aca="false">"0866806"</f>
        <v>0866806</v>
      </c>
      <c r="D122" s="27" t="s">
        <v>34</v>
      </c>
      <c r="E122" s="26" t="n">
        <v>1978</v>
      </c>
      <c r="F122" s="28" t="n">
        <v>848.44</v>
      </c>
      <c r="G122" s="29" t="n">
        <v>1</v>
      </c>
      <c r="H122" s="30" t="n">
        <v>30</v>
      </c>
    </row>
    <row r="123" s="31" customFormat="true" ht="13.8" hidden="false" customHeight="false" outlineLevel="0" collapsed="false">
      <c r="A123" s="25" t="n">
        <v>205</v>
      </c>
      <c r="B123" s="26" t="s">
        <v>21</v>
      </c>
      <c r="C123" s="26" t="str">
        <f aca="false">"0866814"</f>
        <v>0866814</v>
      </c>
      <c r="D123" s="27" t="s">
        <v>43</v>
      </c>
      <c r="E123" s="26" t="n">
        <v>1978</v>
      </c>
      <c r="F123" s="28" t="n">
        <v>1226.16</v>
      </c>
      <c r="G123" s="29" t="n">
        <v>3</v>
      </c>
      <c r="H123" s="30" t="n">
        <v>150</v>
      </c>
    </row>
    <row r="124" s="31" customFormat="true" ht="13.8" hidden="false" customHeight="false" outlineLevel="0" collapsed="false">
      <c r="A124" s="25" t="n">
        <v>206</v>
      </c>
      <c r="B124" s="26" t="s">
        <v>21</v>
      </c>
      <c r="C124" s="26" t="str">
        <f aca="false">"0873179"</f>
        <v>0873179</v>
      </c>
      <c r="D124" s="27" t="s">
        <v>100</v>
      </c>
      <c r="E124" s="26" t="n">
        <v>1990</v>
      </c>
      <c r="F124" s="28" t="n">
        <v>276.01</v>
      </c>
      <c r="G124" s="29" t="n">
        <v>3</v>
      </c>
      <c r="H124" s="30" t="n">
        <v>45</v>
      </c>
    </row>
    <row r="125" s="31" customFormat="true" ht="13.8" hidden="false" customHeight="false" outlineLevel="0" collapsed="false">
      <c r="A125" s="33" t="n">
        <v>211</v>
      </c>
      <c r="B125" s="26" t="s">
        <v>21</v>
      </c>
      <c r="C125" s="26" t="str">
        <f aca="false">"0863408"</f>
        <v>0863408</v>
      </c>
      <c r="D125" s="27" t="s">
        <v>43</v>
      </c>
      <c r="E125" s="26" t="n">
        <v>1970</v>
      </c>
      <c r="F125" s="28" t="n">
        <v>1050.89</v>
      </c>
      <c r="G125" s="29" t="n">
        <v>3</v>
      </c>
      <c r="H125" s="30" t="n">
        <v>90</v>
      </c>
    </row>
    <row r="126" s="31" customFormat="true" ht="13.8" hidden="false" customHeight="false" outlineLevel="0" collapsed="false">
      <c r="A126" s="25" t="n">
        <v>212</v>
      </c>
      <c r="B126" s="26" t="s">
        <v>21</v>
      </c>
      <c r="C126" s="26" t="str">
        <f aca="false">"0868663"</f>
        <v>0868663</v>
      </c>
      <c r="D126" s="27" t="s">
        <v>103</v>
      </c>
      <c r="E126" s="26" t="n">
        <v>1984</v>
      </c>
      <c r="F126" s="28" t="n">
        <v>2036.39</v>
      </c>
      <c r="G126" s="29" t="n">
        <v>7</v>
      </c>
      <c r="H126" s="30" t="n">
        <v>630</v>
      </c>
    </row>
    <row r="127" s="31" customFormat="true" ht="13.8" hidden="false" customHeight="false" outlineLevel="0" collapsed="false">
      <c r="A127" s="25" t="n">
        <v>213</v>
      </c>
      <c r="B127" s="26" t="s">
        <v>21</v>
      </c>
      <c r="C127" s="26" t="str">
        <f aca="false">"0868752"</f>
        <v>0868752</v>
      </c>
      <c r="D127" s="27" t="s">
        <v>104</v>
      </c>
      <c r="E127" s="26" t="n">
        <v>1984</v>
      </c>
      <c r="F127" s="28" t="n">
        <v>2036.39</v>
      </c>
      <c r="G127" s="29" t="n">
        <v>14</v>
      </c>
      <c r="H127" s="30" t="n">
        <v>1260</v>
      </c>
    </row>
    <row r="128" s="31" customFormat="true" ht="13.8" hidden="false" customHeight="false" outlineLevel="0" collapsed="false">
      <c r="A128" s="25" t="n">
        <v>214</v>
      </c>
      <c r="B128" s="26" t="s">
        <v>21</v>
      </c>
      <c r="C128" s="26" t="str">
        <f aca="false">"0868892"</f>
        <v>0868892</v>
      </c>
      <c r="D128" s="27" t="s">
        <v>41</v>
      </c>
      <c r="E128" s="26" t="n">
        <v>1984</v>
      </c>
      <c r="F128" s="28" t="n">
        <v>160.92</v>
      </c>
      <c r="G128" s="29" t="n">
        <v>1</v>
      </c>
      <c r="H128" s="30" t="n">
        <v>10</v>
      </c>
    </row>
    <row r="129" s="31" customFormat="true" ht="13.8" hidden="false" customHeight="false" outlineLevel="0" collapsed="false">
      <c r="A129" s="25" t="n">
        <v>215</v>
      </c>
      <c r="B129" s="26" t="s">
        <v>21</v>
      </c>
      <c r="C129" s="26" t="str">
        <f aca="false">"0868906"</f>
        <v>0868906</v>
      </c>
      <c r="D129" s="27" t="s">
        <v>41</v>
      </c>
      <c r="E129" s="26" t="n">
        <v>1984</v>
      </c>
      <c r="F129" s="28" t="n">
        <v>632.06</v>
      </c>
      <c r="G129" s="29" t="n">
        <v>1</v>
      </c>
      <c r="H129" s="30" t="n">
        <v>25</v>
      </c>
    </row>
    <row r="130" s="31" customFormat="true" ht="13.8" hidden="false" customHeight="false" outlineLevel="0" collapsed="false">
      <c r="A130" s="25" t="n">
        <v>216</v>
      </c>
      <c r="B130" s="26" t="s">
        <v>21</v>
      </c>
      <c r="C130" s="26" t="str">
        <f aca="false">"0869007"</f>
        <v>0869007</v>
      </c>
      <c r="D130" s="27" t="s">
        <v>41</v>
      </c>
      <c r="E130" s="26" t="n">
        <v>1984</v>
      </c>
      <c r="F130" s="28" t="n">
        <v>488.94</v>
      </c>
      <c r="G130" s="29" t="n">
        <v>1</v>
      </c>
      <c r="H130" s="30" t="n">
        <v>25</v>
      </c>
    </row>
    <row r="131" s="31" customFormat="true" ht="13.8" hidden="false" customHeight="false" outlineLevel="0" collapsed="false">
      <c r="A131" s="25" t="n">
        <v>217</v>
      </c>
      <c r="B131" s="26" t="s">
        <v>21</v>
      </c>
      <c r="C131" s="26" t="str">
        <f aca="false">"0863491"</f>
        <v>0863491</v>
      </c>
      <c r="D131" s="27" t="s">
        <v>68</v>
      </c>
      <c r="E131" s="26" t="n">
        <v>1970</v>
      </c>
      <c r="F131" s="28" t="n">
        <v>700.23</v>
      </c>
      <c r="G131" s="29" t="n">
        <v>1</v>
      </c>
      <c r="H131" s="30" t="n">
        <v>25</v>
      </c>
    </row>
    <row r="132" s="31" customFormat="true" ht="13.8" hidden="false" customHeight="false" outlineLevel="0" collapsed="false">
      <c r="A132" s="32" t="n">
        <v>218</v>
      </c>
      <c r="B132" s="26" t="s">
        <v>21</v>
      </c>
      <c r="C132" s="26" t="str">
        <f aca="false">"0869619"</f>
        <v>0869619</v>
      </c>
      <c r="D132" s="27" t="s">
        <v>105</v>
      </c>
      <c r="E132" s="26" t="n">
        <v>1984</v>
      </c>
      <c r="F132" s="28" t="n">
        <v>163.81</v>
      </c>
      <c r="G132" s="29" t="n">
        <v>1</v>
      </c>
      <c r="H132" s="30" t="n">
        <v>10</v>
      </c>
    </row>
    <row r="133" s="31" customFormat="true" ht="13.8" hidden="false" customHeight="false" outlineLevel="0" collapsed="false">
      <c r="A133" s="33" t="n">
        <v>220</v>
      </c>
      <c r="B133" s="26" t="s">
        <v>21</v>
      </c>
      <c r="C133" s="26" t="str">
        <f aca="false">"0870072"</f>
        <v>0870072</v>
      </c>
      <c r="D133" s="27" t="s">
        <v>41</v>
      </c>
      <c r="E133" s="26" t="n">
        <v>1984</v>
      </c>
      <c r="F133" s="28" t="n">
        <v>1162.68</v>
      </c>
      <c r="G133" s="29" t="n">
        <v>2</v>
      </c>
      <c r="H133" s="30" t="n">
        <v>100</v>
      </c>
    </row>
    <row r="134" s="31" customFormat="true" ht="13.8" hidden="false" customHeight="false" outlineLevel="0" collapsed="false">
      <c r="A134" s="25" t="n">
        <v>221</v>
      </c>
      <c r="B134" s="26" t="s">
        <v>21</v>
      </c>
      <c r="C134" s="26" t="str">
        <f aca="false">"0870153"</f>
        <v>0870153</v>
      </c>
      <c r="D134" s="27" t="s">
        <v>106</v>
      </c>
      <c r="E134" s="26" t="n">
        <v>1984</v>
      </c>
      <c r="F134" s="28" t="n">
        <v>751.29</v>
      </c>
      <c r="G134" s="29" t="n">
        <v>1</v>
      </c>
      <c r="H134" s="30" t="n">
        <v>30</v>
      </c>
    </row>
    <row r="135" s="31" customFormat="true" ht="13.8" hidden="false" customHeight="false" outlineLevel="0" collapsed="false">
      <c r="A135" s="25" t="n">
        <v>222</v>
      </c>
      <c r="B135" s="26" t="s">
        <v>21</v>
      </c>
      <c r="C135" s="26" t="str">
        <f aca="false">"0870170"</f>
        <v>0870170</v>
      </c>
      <c r="D135" s="27" t="s">
        <v>88</v>
      </c>
      <c r="E135" s="26" t="n">
        <v>1984</v>
      </c>
      <c r="F135" s="28" t="n">
        <v>474.53</v>
      </c>
      <c r="G135" s="29" t="n">
        <v>2</v>
      </c>
      <c r="H135" s="30" t="n">
        <v>40</v>
      </c>
    </row>
    <row r="136" s="31" customFormat="true" ht="13.8" hidden="false" customHeight="false" outlineLevel="0" collapsed="false">
      <c r="A136" s="25" t="n">
        <v>223</v>
      </c>
      <c r="B136" s="26" t="s">
        <v>21</v>
      </c>
      <c r="C136" s="26" t="str">
        <f aca="false">"0870196"</f>
        <v>0870196</v>
      </c>
      <c r="D136" s="27" t="s">
        <v>41</v>
      </c>
      <c r="E136" s="26" t="n">
        <v>1984</v>
      </c>
      <c r="F136" s="28" t="n">
        <v>581.34</v>
      </c>
      <c r="G136" s="29" t="n">
        <v>1</v>
      </c>
      <c r="H136" s="30" t="n">
        <v>25</v>
      </c>
    </row>
    <row r="137" s="31" customFormat="true" ht="13.8" hidden="false" customHeight="false" outlineLevel="0" collapsed="false">
      <c r="A137" s="25" t="n">
        <v>224</v>
      </c>
      <c r="B137" s="26" t="s">
        <v>21</v>
      </c>
      <c r="C137" s="26" t="str">
        <f aca="false">"0864315"</f>
        <v>0864315</v>
      </c>
      <c r="D137" s="27" t="s">
        <v>43</v>
      </c>
      <c r="E137" s="26" t="n">
        <v>1971</v>
      </c>
      <c r="F137" s="28" t="n">
        <v>913.86</v>
      </c>
      <c r="G137" s="29" t="n">
        <v>1</v>
      </c>
      <c r="H137" s="30" t="n">
        <v>30</v>
      </c>
    </row>
    <row r="138" s="31" customFormat="true" ht="13.8" hidden="false" customHeight="false" outlineLevel="0" collapsed="false">
      <c r="A138" s="25" t="n">
        <v>225</v>
      </c>
      <c r="B138" s="26" t="s">
        <v>21</v>
      </c>
      <c r="C138" s="26" t="str">
        <f aca="false">"0871230"</f>
        <v>0871230</v>
      </c>
      <c r="D138" s="27" t="s">
        <v>41</v>
      </c>
      <c r="E138" s="26" t="n">
        <v>1986</v>
      </c>
      <c r="F138" s="28" t="n">
        <v>366.26</v>
      </c>
      <c r="G138" s="29" t="n">
        <v>3</v>
      </c>
      <c r="H138" s="30" t="n">
        <v>45</v>
      </c>
    </row>
    <row r="139" s="31" customFormat="true" ht="13.8" hidden="false" customHeight="false" outlineLevel="0" collapsed="false">
      <c r="A139" s="25" t="n">
        <v>226</v>
      </c>
      <c r="B139" s="26" t="s">
        <v>21</v>
      </c>
      <c r="C139" s="26" t="str">
        <f aca="false">"0859907"</f>
        <v>0859907</v>
      </c>
      <c r="D139" s="27" t="s">
        <v>107</v>
      </c>
      <c r="E139" s="26" t="n">
        <v>2008</v>
      </c>
      <c r="F139" s="28" t="n">
        <v>6494</v>
      </c>
      <c r="G139" s="29" t="n">
        <v>1</v>
      </c>
      <c r="H139" s="30" t="n">
        <v>540</v>
      </c>
    </row>
    <row r="140" s="31" customFormat="true" ht="13.8" hidden="false" customHeight="false" outlineLevel="0" collapsed="false">
      <c r="A140" s="25" t="n">
        <v>227</v>
      </c>
      <c r="B140" s="26" t="s">
        <v>21</v>
      </c>
      <c r="C140" s="26" t="str">
        <f aca="false">"0871281"</f>
        <v>0871281</v>
      </c>
      <c r="D140" s="27" t="s">
        <v>108</v>
      </c>
      <c r="E140" s="26" t="n">
        <v>1986</v>
      </c>
      <c r="F140" s="28" t="n">
        <v>414.98</v>
      </c>
      <c r="G140" s="29" t="n">
        <v>1</v>
      </c>
      <c r="H140" s="30" t="n">
        <v>20</v>
      </c>
    </row>
    <row r="141" s="31" customFormat="true" ht="13.8" hidden="false" customHeight="false" outlineLevel="0" collapsed="false">
      <c r="A141" s="25" t="n">
        <v>228</v>
      </c>
      <c r="B141" s="26" t="s">
        <v>21</v>
      </c>
      <c r="C141" s="26" t="str">
        <f aca="false">"0871303"</f>
        <v>0871303</v>
      </c>
      <c r="D141" s="27" t="s">
        <v>88</v>
      </c>
      <c r="E141" s="26" t="n">
        <v>1986</v>
      </c>
      <c r="F141" s="28" t="n">
        <v>488.12</v>
      </c>
      <c r="G141" s="29" t="n">
        <v>2</v>
      </c>
      <c r="H141" s="30" t="n">
        <v>40</v>
      </c>
    </row>
    <row r="142" s="31" customFormat="true" ht="13.8" hidden="false" customHeight="false" outlineLevel="0" collapsed="false">
      <c r="A142" s="25" t="n">
        <v>229</v>
      </c>
      <c r="B142" s="26" t="s">
        <v>21</v>
      </c>
      <c r="C142" s="26" t="str">
        <f aca="false">"0871753"</f>
        <v>0871753</v>
      </c>
      <c r="D142" s="27" t="s">
        <v>109</v>
      </c>
      <c r="E142" s="26" t="n">
        <v>1986</v>
      </c>
      <c r="F142" s="28" t="n">
        <v>195.14</v>
      </c>
      <c r="G142" s="29" t="n">
        <v>6</v>
      </c>
      <c r="H142" s="30" t="n">
        <v>60</v>
      </c>
    </row>
    <row r="143" s="31" customFormat="true" ht="13.8" hidden="false" customHeight="false" outlineLevel="0" collapsed="false">
      <c r="A143" s="25" t="n">
        <v>231</v>
      </c>
      <c r="B143" s="26" t="s">
        <v>21</v>
      </c>
      <c r="C143" s="26" t="str">
        <f aca="false">"0861057"</f>
        <v>0861057</v>
      </c>
      <c r="D143" s="27" t="s">
        <v>110</v>
      </c>
      <c r="E143" s="26" t="n">
        <v>1984</v>
      </c>
      <c r="F143" s="28" t="n">
        <f aca="false">152570.94*1.25</f>
        <v>190713.675</v>
      </c>
      <c r="G143" s="29" t="n">
        <v>1</v>
      </c>
      <c r="H143" s="30" t="n">
        <v>9500</v>
      </c>
      <c r="I143" s="34"/>
    </row>
    <row r="144" s="31" customFormat="true" ht="13.8" hidden="false" customHeight="false" outlineLevel="0" collapsed="false">
      <c r="A144" s="33" t="n">
        <v>237</v>
      </c>
      <c r="B144" s="26" t="s">
        <v>21</v>
      </c>
      <c r="C144" s="26" t="str">
        <f aca="false">"0876160"</f>
        <v>0876160</v>
      </c>
      <c r="D144" s="27" t="s">
        <v>41</v>
      </c>
      <c r="E144" s="26" t="n">
        <v>1952</v>
      </c>
      <c r="F144" s="28" t="n">
        <f aca="false">305.82*1.3</f>
        <v>397.566</v>
      </c>
      <c r="G144" s="29" t="n">
        <v>1</v>
      </c>
      <c r="H144" s="30" t="n">
        <v>5</v>
      </c>
    </row>
    <row r="145" s="31" customFormat="true" ht="13.8" hidden="false" customHeight="false" outlineLevel="0" collapsed="false">
      <c r="A145" s="25" t="n">
        <v>238</v>
      </c>
      <c r="B145" s="26" t="s">
        <v>21</v>
      </c>
      <c r="C145" s="26" t="str">
        <f aca="false">"0876224"</f>
        <v>0876224</v>
      </c>
      <c r="D145" s="27" t="s">
        <v>41</v>
      </c>
      <c r="E145" s="26" t="n">
        <v>1959</v>
      </c>
      <c r="F145" s="28" t="n">
        <f aca="false">189.55*1.2</f>
        <v>227.46</v>
      </c>
      <c r="G145" s="29" t="n">
        <v>1</v>
      </c>
      <c r="H145" s="30" t="n">
        <v>5</v>
      </c>
    </row>
    <row r="146" s="31" customFormat="true" ht="13.8" hidden="false" customHeight="false" outlineLevel="0" collapsed="false">
      <c r="A146" s="25" t="n">
        <v>239</v>
      </c>
      <c r="B146" s="26" t="s">
        <v>21</v>
      </c>
      <c r="C146" s="26" t="str">
        <f aca="false">"0876283"</f>
        <v>0876283</v>
      </c>
      <c r="D146" s="27" t="s">
        <v>41</v>
      </c>
      <c r="E146" s="26" t="n">
        <v>1959</v>
      </c>
      <c r="F146" s="28" t="n">
        <f aca="false">310.51*1.2</f>
        <v>372.612</v>
      </c>
      <c r="G146" s="29" t="n">
        <v>1</v>
      </c>
      <c r="H146" s="30" t="n">
        <v>10</v>
      </c>
    </row>
    <row r="147" s="31" customFormat="true" ht="13.8" hidden="false" customHeight="false" outlineLevel="0" collapsed="false">
      <c r="A147" s="25" t="n">
        <v>240</v>
      </c>
      <c r="B147" s="26" t="s">
        <v>21</v>
      </c>
      <c r="C147" s="26" t="str">
        <f aca="false">"0876305"</f>
        <v>0876305</v>
      </c>
      <c r="D147" s="27" t="s">
        <v>41</v>
      </c>
      <c r="E147" s="26" t="n">
        <v>1959</v>
      </c>
      <c r="F147" s="28" t="n">
        <f aca="false">341.7*1.2</f>
        <v>410.04</v>
      </c>
      <c r="G147" s="29" t="n">
        <v>1</v>
      </c>
      <c r="H147" s="30" t="n">
        <v>10</v>
      </c>
    </row>
    <row r="148" s="31" customFormat="true" ht="13.8" hidden="false" customHeight="false" outlineLevel="0" collapsed="false">
      <c r="A148" s="25" t="n">
        <v>241</v>
      </c>
      <c r="B148" s="26" t="s">
        <v>21</v>
      </c>
      <c r="C148" s="26" t="str">
        <f aca="false">"0876356"</f>
        <v>0876356</v>
      </c>
      <c r="D148" s="27" t="s">
        <v>77</v>
      </c>
      <c r="E148" s="26" t="n">
        <v>1960</v>
      </c>
      <c r="F148" s="28" t="n">
        <f aca="false">95.37*1.2</f>
        <v>114.444</v>
      </c>
      <c r="G148" s="29" t="n">
        <v>1</v>
      </c>
      <c r="H148" s="30" t="n">
        <v>5</v>
      </c>
    </row>
    <row r="149" s="31" customFormat="true" ht="13.8" hidden="false" customHeight="false" outlineLevel="0" collapsed="false">
      <c r="A149" s="25" t="n">
        <v>244</v>
      </c>
      <c r="B149" s="26" t="s">
        <v>21</v>
      </c>
      <c r="C149" s="26" t="str">
        <f aca="false">"0874191"</f>
        <v>0874191</v>
      </c>
      <c r="D149" s="27" t="s">
        <v>111</v>
      </c>
      <c r="E149" s="26" t="n">
        <v>2001</v>
      </c>
      <c r="F149" s="28" t="n">
        <v>100</v>
      </c>
      <c r="G149" s="29" t="n">
        <v>2</v>
      </c>
      <c r="H149" s="30" t="n">
        <v>10</v>
      </c>
    </row>
    <row r="150" s="31" customFormat="true" ht="13.8" hidden="false" customHeight="false" outlineLevel="0" collapsed="false">
      <c r="A150" s="25" t="n">
        <v>245</v>
      </c>
      <c r="B150" s="26" t="s">
        <v>21</v>
      </c>
      <c r="C150" s="26" t="str">
        <f aca="false">"0874329"</f>
        <v>0874329</v>
      </c>
      <c r="D150" s="27" t="s">
        <v>45</v>
      </c>
      <c r="E150" s="26" t="n">
        <v>2001</v>
      </c>
      <c r="F150" s="28" t="n">
        <v>200</v>
      </c>
      <c r="G150" s="29" t="n">
        <v>2</v>
      </c>
      <c r="H150" s="30" t="n">
        <v>20</v>
      </c>
    </row>
    <row r="151" s="31" customFormat="true" ht="13.8" hidden="false" customHeight="false" outlineLevel="0" collapsed="false">
      <c r="A151" s="25" t="n">
        <v>246</v>
      </c>
      <c r="B151" s="26" t="s">
        <v>21</v>
      </c>
      <c r="C151" s="26" t="str">
        <f aca="false">"0874469"</f>
        <v>0874469</v>
      </c>
      <c r="D151" s="27" t="s">
        <v>77</v>
      </c>
      <c r="E151" s="26" t="n">
        <v>1960</v>
      </c>
      <c r="F151" s="28" t="n">
        <f aca="false">47.68*1.2</f>
        <v>57.216</v>
      </c>
      <c r="G151" s="29" t="n">
        <v>1</v>
      </c>
      <c r="H151" s="30" t="n">
        <v>5</v>
      </c>
    </row>
    <row r="152" s="31" customFormat="true" ht="13.8" hidden="false" customHeight="false" outlineLevel="0" collapsed="false">
      <c r="A152" s="25" t="n">
        <v>247</v>
      </c>
      <c r="B152" s="26" t="s">
        <v>21</v>
      </c>
      <c r="C152" s="26" t="str">
        <f aca="false">"0874531"</f>
        <v>0874531</v>
      </c>
      <c r="D152" s="27" t="s">
        <v>106</v>
      </c>
      <c r="E152" s="26" t="n">
        <v>1984</v>
      </c>
      <c r="F152" s="28" t="n">
        <v>751.29</v>
      </c>
      <c r="G152" s="29" t="n">
        <v>1</v>
      </c>
      <c r="H152" s="30" t="n">
        <v>35</v>
      </c>
    </row>
    <row r="153" s="31" customFormat="true" ht="13.8" hidden="false" customHeight="false" outlineLevel="0" collapsed="false">
      <c r="A153" s="25" t="n">
        <v>248</v>
      </c>
      <c r="B153" s="26" t="s">
        <v>21</v>
      </c>
      <c r="C153" s="26" t="str">
        <f aca="false">"0874540"</f>
        <v>0874540</v>
      </c>
      <c r="D153" s="27" t="s">
        <v>88</v>
      </c>
      <c r="E153" s="26" t="n">
        <v>1984</v>
      </c>
      <c r="F153" s="28" t="n">
        <v>474.52</v>
      </c>
      <c r="G153" s="29" t="n">
        <v>2</v>
      </c>
      <c r="H153" s="30" t="n">
        <v>40</v>
      </c>
    </row>
    <row r="154" s="31" customFormat="true" ht="13.8" hidden="false" customHeight="false" outlineLevel="0" collapsed="false">
      <c r="A154" s="25" t="n">
        <v>249</v>
      </c>
      <c r="B154" s="26" t="s">
        <v>21</v>
      </c>
      <c r="C154" s="26" t="str">
        <f aca="false">"0874574"</f>
        <v>0874574</v>
      </c>
      <c r="D154" s="27" t="s">
        <v>112</v>
      </c>
      <c r="E154" s="26" t="n">
        <v>1984</v>
      </c>
      <c r="F154" s="28" t="n">
        <v>257.03</v>
      </c>
      <c r="G154" s="29" t="n">
        <v>1</v>
      </c>
      <c r="H154" s="30" t="n">
        <v>10</v>
      </c>
    </row>
    <row r="155" s="31" customFormat="true" ht="13.8" hidden="false" customHeight="false" outlineLevel="0" collapsed="false">
      <c r="A155" s="25" t="n">
        <v>250</v>
      </c>
      <c r="B155" s="26" t="s">
        <v>21</v>
      </c>
      <c r="C155" s="26" t="s">
        <v>23</v>
      </c>
      <c r="D155" s="27" t="s">
        <v>77</v>
      </c>
      <c r="E155" s="26" t="n">
        <v>1984</v>
      </c>
      <c r="F155" s="28" t="n">
        <v>200</v>
      </c>
      <c r="G155" s="29" t="n">
        <v>1</v>
      </c>
      <c r="H155" s="30" t="n">
        <v>10</v>
      </c>
    </row>
    <row r="156" s="31" customFormat="true" ht="13.8" hidden="false" customHeight="false" outlineLevel="0" collapsed="false">
      <c r="A156" s="25" t="n">
        <v>251</v>
      </c>
      <c r="B156" s="26" t="s">
        <v>21</v>
      </c>
      <c r="C156" s="26" t="s">
        <v>23</v>
      </c>
      <c r="D156" s="27" t="s">
        <v>55</v>
      </c>
      <c r="E156" s="26" t="n">
        <v>1984</v>
      </c>
      <c r="F156" s="28" t="n">
        <v>120</v>
      </c>
      <c r="G156" s="29" t="n">
        <v>4</v>
      </c>
      <c r="H156" s="30" t="n">
        <v>20</v>
      </c>
    </row>
    <row r="157" s="31" customFormat="true" ht="13.8" hidden="false" customHeight="false" outlineLevel="0" collapsed="false">
      <c r="A157" s="25" t="n">
        <v>252</v>
      </c>
      <c r="B157" s="26" t="s">
        <v>21</v>
      </c>
      <c r="C157" s="26" t="s">
        <v>23</v>
      </c>
      <c r="D157" s="27" t="s">
        <v>85</v>
      </c>
      <c r="E157" s="26" t="n">
        <v>2013</v>
      </c>
      <c r="F157" s="28" t="n">
        <v>4680</v>
      </c>
      <c r="G157" s="29" t="n">
        <f aca="false">3+3</f>
        <v>6</v>
      </c>
      <c r="H157" s="30" t="n">
        <v>2880</v>
      </c>
    </row>
    <row r="158" s="31" customFormat="true" ht="13.8" hidden="false" customHeight="false" outlineLevel="0" collapsed="false">
      <c r="A158" s="25" t="n">
        <v>253</v>
      </c>
      <c r="B158" s="26" t="s">
        <v>21</v>
      </c>
      <c r="C158" s="26" t="s">
        <v>23</v>
      </c>
      <c r="D158" s="27" t="s">
        <v>113</v>
      </c>
      <c r="E158" s="26" t="n">
        <v>2013</v>
      </c>
      <c r="F158" s="28" t="n">
        <v>2260</v>
      </c>
      <c r="G158" s="29" t="n">
        <f aca="false">2+2</f>
        <v>4</v>
      </c>
      <c r="H158" s="30" t="n">
        <v>920</v>
      </c>
    </row>
    <row r="159" s="31" customFormat="true" ht="13.8" hidden="false" customHeight="false" outlineLevel="0" collapsed="false">
      <c r="A159" s="25" t="n">
        <v>254</v>
      </c>
      <c r="B159" s="26" t="s">
        <v>21</v>
      </c>
      <c r="C159" s="26" t="s">
        <v>23</v>
      </c>
      <c r="D159" s="27" t="s">
        <v>114</v>
      </c>
      <c r="E159" s="26" t="n">
        <v>2013</v>
      </c>
      <c r="F159" s="28" t="n">
        <v>4150</v>
      </c>
      <c r="G159" s="29" t="n">
        <v>1</v>
      </c>
      <c r="H159" s="30" t="n">
        <v>425</v>
      </c>
    </row>
    <row r="160" s="31" customFormat="true" ht="13.8" hidden="false" customHeight="false" outlineLevel="0" collapsed="false">
      <c r="A160" s="25" t="n">
        <v>255</v>
      </c>
      <c r="B160" s="26" t="s">
        <v>21</v>
      </c>
      <c r="C160" s="26" t="s">
        <v>23</v>
      </c>
      <c r="D160" s="27" t="s">
        <v>115</v>
      </c>
      <c r="E160" s="26" t="n">
        <v>2013</v>
      </c>
      <c r="F160" s="28" t="n">
        <v>5240</v>
      </c>
      <c r="G160" s="29" t="n">
        <v>1</v>
      </c>
      <c r="H160" s="30" t="n">
        <v>535</v>
      </c>
    </row>
    <row r="161" s="31" customFormat="true" ht="13.8" hidden="false" customHeight="false" outlineLevel="0" collapsed="false">
      <c r="A161" s="25" t="n">
        <v>256</v>
      </c>
      <c r="B161" s="26" t="s">
        <v>21</v>
      </c>
      <c r="C161" s="26" t="s">
        <v>23</v>
      </c>
      <c r="D161" s="27" t="s">
        <v>116</v>
      </c>
      <c r="E161" s="26" t="n">
        <v>2013</v>
      </c>
      <c r="F161" s="28" t="n">
        <v>6600</v>
      </c>
      <c r="G161" s="29" t="n">
        <v>1</v>
      </c>
      <c r="H161" s="30" t="n">
        <v>675</v>
      </c>
    </row>
    <row r="162" s="31" customFormat="true" ht="13.8" hidden="false" customHeight="false" outlineLevel="0" collapsed="false">
      <c r="A162" s="25" t="n">
        <v>257</v>
      </c>
      <c r="B162" s="26" t="s">
        <v>21</v>
      </c>
      <c r="C162" s="26" t="s">
        <v>23</v>
      </c>
      <c r="D162" s="27" t="s">
        <v>117</v>
      </c>
      <c r="E162" s="26" t="n">
        <v>2013</v>
      </c>
      <c r="F162" s="28" t="n">
        <v>6380</v>
      </c>
      <c r="G162" s="29" t="n">
        <v>1</v>
      </c>
      <c r="H162" s="30" t="n">
        <v>650</v>
      </c>
    </row>
    <row r="163" s="31" customFormat="true" ht="13.8" hidden="false" customHeight="false" outlineLevel="0" collapsed="false">
      <c r="A163" s="25" t="n">
        <v>258</v>
      </c>
      <c r="B163" s="26" t="s">
        <v>118</v>
      </c>
      <c r="C163" s="26" t="str">
        <f aca="false">"0872792"</f>
        <v>0872792</v>
      </c>
      <c r="D163" s="27" t="s">
        <v>119</v>
      </c>
      <c r="E163" s="26" t="n">
        <v>1989</v>
      </c>
      <c r="F163" s="28" t="n">
        <v>10431.29</v>
      </c>
      <c r="G163" s="29" t="n">
        <v>15</v>
      </c>
      <c r="H163" s="30" t="n">
        <v>7800</v>
      </c>
    </row>
    <row r="164" s="31" customFormat="true" ht="13.8" hidden="false" customHeight="false" outlineLevel="0" collapsed="false">
      <c r="A164" s="25" t="n">
        <v>263</v>
      </c>
      <c r="B164" s="26" t="s">
        <v>118</v>
      </c>
      <c r="C164" s="26" t="str">
        <f aca="false">"0868558"</f>
        <v>0868558</v>
      </c>
      <c r="D164" s="27" t="s">
        <v>76</v>
      </c>
      <c r="E164" s="26" t="n">
        <v>1984</v>
      </c>
      <c r="F164" s="28" t="n">
        <v>1074.09</v>
      </c>
      <c r="G164" s="29" t="n">
        <v>1</v>
      </c>
      <c r="H164" s="30" t="n">
        <v>50</v>
      </c>
    </row>
    <row r="165" s="31" customFormat="true" ht="13.8" hidden="false" customHeight="false" outlineLevel="0" collapsed="false">
      <c r="A165" s="25" t="n">
        <v>264</v>
      </c>
      <c r="B165" s="26" t="s">
        <v>118</v>
      </c>
      <c r="C165" s="26" t="str">
        <f aca="false">"0868981"</f>
        <v>0868981</v>
      </c>
      <c r="D165" s="27" t="s">
        <v>41</v>
      </c>
      <c r="E165" s="26" t="n">
        <v>1984</v>
      </c>
      <c r="F165" s="28" t="n">
        <v>677.18</v>
      </c>
      <c r="G165" s="29" t="n">
        <v>1</v>
      </c>
      <c r="H165" s="30" t="n">
        <v>30</v>
      </c>
    </row>
    <row r="166" s="31" customFormat="true" ht="13.8" hidden="false" customHeight="false" outlineLevel="0" collapsed="false">
      <c r="A166" s="25" t="n">
        <v>265</v>
      </c>
      <c r="B166" s="26" t="s">
        <v>118</v>
      </c>
      <c r="C166" s="26" t="str">
        <f aca="false">"0869015"</f>
        <v>0869015</v>
      </c>
      <c r="D166" s="27" t="s">
        <v>120</v>
      </c>
      <c r="E166" s="26" t="n">
        <v>1984</v>
      </c>
      <c r="F166" s="28" t="n">
        <v>677.18</v>
      </c>
      <c r="G166" s="29" t="n">
        <v>4</v>
      </c>
      <c r="H166" s="30" t="n">
        <v>120</v>
      </c>
    </row>
    <row r="167" s="31" customFormat="true" ht="13.8" hidden="false" customHeight="false" outlineLevel="0" collapsed="false">
      <c r="A167" s="25" t="n">
        <v>266</v>
      </c>
      <c r="B167" s="26" t="s">
        <v>118</v>
      </c>
      <c r="C167" s="26" t="str">
        <f aca="false">"0869058"</f>
        <v>0869058</v>
      </c>
      <c r="D167" s="27" t="s">
        <v>41</v>
      </c>
      <c r="E167" s="26" t="n">
        <v>1984</v>
      </c>
      <c r="F167" s="28" t="n">
        <v>435.27</v>
      </c>
      <c r="G167" s="29" t="n">
        <v>5</v>
      </c>
      <c r="H167" s="30" t="n">
        <v>100</v>
      </c>
    </row>
    <row r="168" s="31" customFormat="true" ht="13.8" hidden="false" customHeight="false" outlineLevel="0" collapsed="false">
      <c r="A168" s="25" t="n">
        <v>267</v>
      </c>
      <c r="B168" s="26" t="s">
        <v>118</v>
      </c>
      <c r="C168" s="26" t="str">
        <f aca="false">"0869473"</f>
        <v>0869473</v>
      </c>
      <c r="D168" s="27" t="s">
        <v>41</v>
      </c>
      <c r="E168" s="26" t="n">
        <v>1984</v>
      </c>
      <c r="F168" s="28" t="n">
        <v>319.48</v>
      </c>
      <c r="G168" s="29" t="n">
        <v>4</v>
      </c>
      <c r="H168" s="30" t="n">
        <v>60</v>
      </c>
    </row>
    <row r="169" s="31" customFormat="true" ht="13.8" hidden="false" customHeight="false" outlineLevel="0" collapsed="false">
      <c r="A169" s="25" t="n">
        <v>269</v>
      </c>
      <c r="B169" s="26" t="s">
        <v>118</v>
      </c>
      <c r="C169" s="26" t="str">
        <f aca="false">"0870080"</f>
        <v>0870080</v>
      </c>
      <c r="D169" s="27" t="s">
        <v>41</v>
      </c>
      <c r="E169" s="26" t="n">
        <v>1984</v>
      </c>
      <c r="F169" s="28" t="n">
        <v>1162.68</v>
      </c>
      <c r="G169" s="29" t="n">
        <v>3</v>
      </c>
      <c r="H169" s="30" t="n">
        <v>150</v>
      </c>
    </row>
    <row r="170" s="31" customFormat="true" ht="13.8" hidden="false" customHeight="false" outlineLevel="0" collapsed="false">
      <c r="A170" s="25" t="n">
        <v>270</v>
      </c>
      <c r="B170" s="26" t="s">
        <v>118</v>
      </c>
      <c r="C170" s="26" t="str">
        <f aca="false">"0859265"</f>
        <v>0859265</v>
      </c>
      <c r="D170" s="27" t="s">
        <v>121</v>
      </c>
      <c r="E170" s="26" t="n">
        <v>2005</v>
      </c>
      <c r="F170" s="28" t="n">
        <v>5015.74</v>
      </c>
      <c r="G170" s="29" t="n">
        <v>7</v>
      </c>
      <c r="H170" s="30" t="n">
        <v>2205</v>
      </c>
    </row>
    <row r="171" s="31" customFormat="true" ht="13.8" hidden="false" customHeight="false" outlineLevel="0" collapsed="false">
      <c r="A171" s="25" t="n">
        <v>271</v>
      </c>
      <c r="B171" s="26" t="s">
        <v>118</v>
      </c>
      <c r="C171" s="26" t="str">
        <f aca="false">"0870714"</f>
        <v>0870714</v>
      </c>
      <c r="D171" s="27" t="s">
        <v>84</v>
      </c>
      <c r="E171" s="26" t="n">
        <v>1985</v>
      </c>
      <c r="F171" s="28" t="n">
        <v>2250.98</v>
      </c>
      <c r="G171" s="29" t="n">
        <v>4</v>
      </c>
      <c r="H171" s="30" t="n">
        <v>400</v>
      </c>
    </row>
    <row r="172" s="31" customFormat="true" ht="13.8" hidden="false" customHeight="false" outlineLevel="0" collapsed="false">
      <c r="A172" s="25" t="n">
        <v>272</v>
      </c>
      <c r="B172" s="26" t="s">
        <v>118</v>
      </c>
      <c r="C172" s="26" t="str">
        <f aca="false">"0872440"</f>
        <v>0872440</v>
      </c>
      <c r="D172" s="27" t="s">
        <v>122</v>
      </c>
      <c r="E172" s="26" t="n">
        <v>1989</v>
      </c>
      <c r="F172" s="28" t="n">
        <v>1556.68</v>
      </c>
      <c r="G172" s="29" t="n">
        <v>3</v>
      </c>
      <c r="H172" s="30" t="n">
        <v>240</v>
      </c>
    </row>
    <row r="173" s="31" customFormat="true" ht="13.8" hidden="false" customHeight="false" outlineLevel="0" collapsed="false">
      <c r="A173" s="25" t="n">
        <v>273</v>
      </c>
      <c r="B173" s="26" t="s">
        <v>118</v>
      </c>
      <c r="C173" s="26" t="str">
        <f aca="false">"0872474"</f>
        <v>0872474</v>
      </c>
      <c r="D173" s="27" t="s">
        <v>123</v>
      </c>
      <c r="E173" s="26" t="n">
        <v>1989</v>
      </c>
      <c r="F173" s="28" t="n">
        <v>1056.7</v>
      </c>
      <c r="G173" s="29" t="n">
        <v>25</v>
      </c>
      <c r="H173" s="30" t="n">
        <v>1250</v>
      </c>
    </row>
    <row r="174" s="31" customFormat="true" ht="13.8" hidden="false" customHeight="false" outlineLevel="0" collapsed="false">
      <c r="A174" s="25" t="n">
        <v>277</v>
      </c>
      <c r="B174" s="26" t="s">
        <v>118</v>
      </c>
      <c r="C174" s="26" t="str">
        <f aca="false">"0874825"</f>
        <v>0874825</v>
      </c>
      <c r="D174" s="27" t="s">
        <v>124</v>
      </c>
      <c r="E174" s="26" t="n">
        <v>2005</v>
      </c>
      <c r="F174" s="28" t="n">
        <v>9639.7</v>
      </c>
      <c r="G174" s="29" t="n">
        <v>1</v>
      </c>
      <c r="H174" s="30" t="n">
        <v>580</v>
      </c>
    </row>
    <row r="175" s="31" customFormat="true" ht="13.8" hidden="false" customHeight="false" outlineLevel="0" collapsed="false">
      <c r="A175" s="25" t="n">
        <v>278</v>
      </c>
      <c r="B175" s="26" t="s">
        <v>118</v>
      </c>
      <c r="C175" s="26" t="str">
        <f aca="false">"0920320"</f>
        <v>0920320</v>
      </c>
      <c r="D175" s="27" t="s">
        <v>125</v>
      </c>
      <c r="E175" s="26" t="n">
        <v>2017</v>
      </c>
      <c r="F175" s="28" t="n">
        <v>895.2</v>
      </c>
      <c r="G175" s="29" t="n">
        <v>1</v>
      </c>
      <c r="H175" s="30" t="n">
        <v>420</v>
      </c>
    </row>
    <row r="176" s="31" customFormat="true" ht="13.8" hidden="false" customHeight="false" outlineLevel="0" collapsed="false">
      <c r="A176" s="25" t="n">
        <v>279</v>
      </c>
      <c r="B176" s="26" t="s">
        <v>118</v>
      </c>
      <c r="C176" s="26" t="s">
        <v>23</v>
      </c>
      <c r="D176" s="27" t="s">
        <v>126</v>
      </c>
      <c r="E176" s="26" t="n">
        <v>1986</v>
      </c>
      <c r="F176" s="28" t="n">
        <v>960</v>
      </c>
      <c r="G176" s="29" t="n">
        <v>1</v>
      </c>
      <c r="H176" s="30" t="n">
        <v>45</v>
      </c>
    </row>
    <row r="177" s="31" customFormat="true" ht="13.8" hidden="false" customHeight="false" outlineLevel="0" collapsed="false">
      <c r="A177" s="25" t="n">
        <v>281</v>
      </c>
      <c r="B177" s="26" t="s">
        <v>118</v>
      </c>
      <c r="C177" s="26" t="s">
        <v>23</v>
      </c>
      <c r="D177" s="27" t="s">
        <v>55</v>
      </c>
      <c r="E177" s="26" t="n">
        <v>1986</v>
      </c>
      <c r="F177" s="28" t="n">
        <v>80</v>
      </c>
      <c r="G177" s="29" t="n">
        <v>9</v>
      </c>
      <c r="H177" s="30" t="n">
        <v>45</v>
      </c>
    </row>
    <row r="178" s="31" customFormat="true" ht="13.8" hidden="false" customHeight="false" outlineLevel="0" collapsed="false">
      <c r="A178" s="25" t="n">
        <v>282</v>
      </c>
      <c r="B178" s="26" t="s">
        <v>118</v>
      </c>
      <c r="C178" s="26" t="s">
        <v>23</v>
      </c>
      <c r="D178" s="27" t="s">
        <v>127</v>
      </c>
      <c r="E178" s="26" t="n">
        <v>1986</v>
      </c>
      <c r="F178" s="28" t="n">
        <v>3860</v>
      </c>
      <c r="G178" s="29" t="n">
        <v>1</v>
      </c>
      <c r="H178" s="30" t="n">
        <v>160</v>
      </c>
    </row>
    <row r="179" s="31" customFormat="true" ht="13.8" hidden="false" customHeight="false" outlineLevel="0" collapsed="false">
      <c r="A179" s="25" t="n">
        <v>283</v>
      </c>
      <c r="B179" s="26" t="s">
        <v>118</v>
      </c>
      <c r="C179" s="26" t="s">
        <v>23</v>
      </c>
      <c r="D179" s="27" t="s">
        <v>128</v>
      </c>
      <c r="E179" s="26" t="n">
        <v>1986</v>
      </c>
      <c r="F179" s="28" t="n">
        <v>4200</v>
      </c>
      <c r="G179" s="29" t="n">
        <v>1</v>
      </c>
      <c r="H179" s="30" t="n">
        <v>175</v>
      </c>
    </row>
    <row r="180" s="31" customFormat="true" ht="13.8" hidden="false" customHeight="false" outlineLevel="0" collapsed="false">
      <c r="A180" s="32" t="n">
        <v>284</v>
      </c>
      <c r="B180" s="26" t="s">
        <v>118</v>
      </c>
      <c r="C180" s="26" t="s">
        <v>23</v>
      </c>
      <c r="D180" s="27" t="s">
        <v>129</v>
      </c>
      <c r="E180" s="26" t="n">
        <v>1986</v>
      </c>
      <c r="F180" s="28" t="n">
        <v>4500</v>
      </c>
      <c r="G180" s="29" t="n">
        <v>1</v>
      </c>
      <c r="H180" s="30" t="n">
        <v>190</v>
      </c>
    </row>
    <row r="181" s="31" customFormat="true" ht="13.8" hidden="false" customHeight="false" outlineLevel="0" collapsed="false">
      <c r="A181" s="33" t="n">
        <v>286</v>
      </c>
      <c r="B181" s="26" t="s">
        <v>118</v>
      </c>
      <c r="C181" s="26" t="s">
        <v>23</v>
      </c>
      <c r="D181" s="27" t="s">
        <v>130</v>
      </c>
      <c r="E181" s="26" t="n">
        <v>2001</v>
      </c>
      <c r="F181" s="28" t="n">
        <v>700</v>
      </c>
      <c r="G181" s="29" t="n">
        <f aca="false">1+2</f>
        <v>3</v>
      </c>
      <c r="H181" s="30" t="n">
        <v>150</v>
      </c>
    </row>
    <row r="182" s="31" customFormat="true" ht="13.8" hidden="false" customHeight="false" outlineLevel="0" collapsed="false">
      <c r="A182" s="25" t="n">
        <v>288</v>
      </c>
      <c r="B182" s="26" t="s">
        <v>118</v>
      </c>
      <c r="C182" s="26" t="s">
        <v>23</v>
      </c>
      <c r="D182" s="27" t="s">
        <v>131</v>
      </c>
      <c r="E182" s="26" t="n">
        <v>2001</v>
      </c>
      <c r="F182" s="28" t="n">
        <v>570</v>
      </c>
      <c r="G182" s="29" t="n">
        <f aca="false">5+1</f>
        <v>6</v>
      </c>
      <c r="H182" s="30" t="n">
        <v>210</v>
      </c>
    </row>
    <row r="183" s="31" customFormat="true" ht="13.8" hidden="false" customHeight="false" outlineLevel="0" collapsed="false">
      <c r="A183" s="33" t="n">
        <v>292</v>
      </c>
      <c r="B183" s="26" t="s">
        <v>118</v>
      </c>
      <c r="C183" s="26" t="s">
        <v>23</v>
      </c>
      <c r="D183" s="27" t="s">
        <v>26</v>
      </c>
      <c r="E183" s="26" t="n">
        <v>2001</v>
      </c>
      <c r="F183" s="28" t="n">
        <v>4160</v>
      </c>
      <c r="G183" s="29" t="n">
        <v>3</v>
      </c>
      <c r="H183" s="30" t="n">
        <v>405</v>
      </c>
    </row>
    <row r="184" s="31" customFormat="true" ht="13.8" hidden="false" customHeight="false" outlineLevel="0" collapsed="false">
      <c r="A184" s="25" t="n">
        <v>293</v>
      </c>
      <c r="B184" s="26" t="s">
        <v>118</v>
      </c>
      <c r="C184" s="26" t="s">
        <v>23</v>
      </c>
      <c r="D184" s="27" t="s">
        <v>132</v>
      </c>
      <c r="E184" s="26" t="n">
        <v>1986</v>
      </c>
      <c r="F184" s="28" t="n">
        <v>550</v>
      </c>
      <c r="G184" s="29" t="n">
        <v>1</v>
      </c>
      <c r="H184" s="30" t="n">
        <v>25</v>
      </c>
    </row>
    <row r="185" s="31" customFormat="true" ht="13.8" hidden="false" customHeight="false" outlineLevel="0" collapsed="false">
      <c r="A185" s="25" t="n">
        <v>295</v>
      </c>
      <c r="B185" s="26" t="s">
        <v>118</v>
      </c>
      <c r="C185" s="26" t="s">
        <v>23</v>
      </c>
      <c r="D185" s="27" t="s">
        <v>133</v>
      </c>
      <c r="E185" s="26" t="n">
        <v>1986</v>
      </c>
      <c r="F185" s="28" t="n">
        <v>700</v>
      </c>
      <c r="G185" s="29" t="n">
        <v>1</v>
      </c>
      <c r="H185" s="30" t="n">
        <v>30</v>
      </c>
    </row>
    <row r="186" s="31" customFormat="true" ht="13.8" hidden="false" customHeight="false" outlineLevel="0" collapsed="false">
      <c r="A186" s="25" t="n">
        <v>296</v>
      </c>
      <c r="B186" s="26" t="s">
        <v>118</v>
      </c>
      <c r="C186" s="26" t="s">
        <v>23</v>
      </c>
      <c r="D186" s="27" t="s">
        <v>100</v>
      </c>
      <c r="E186" s="26" t="n">
        <v>1986</v>
      </c>
      <c r="F186" s="28" t="n">
        <v>720</v>
      </c>
      <c r="G186" s="29" t="n">
        <v>2</v>
      </c>
      <c r="H186" s="30" t="n">
        <v>60</v>
      </c>
    </row>
    <row r="187" s="31" customFormat="true" ht="13.8" hidden="false" customHeight="false" outlineLevel="0" collapsed="false">
      <c r="A187" s="25" t="n">
        <v>297</v>
      </c>
      <c r="B187" s="26" t="s">
        <v>118</v>
      </c>
      <c r="C187" s="26" t="s">
        <v>23</v>
      </c>
      <c r="D187" s="27" t="s">
        <v>134</v>
      </c>
      <c r="E187" s="26" t="n">
        <v>1986</v>
      </c>
      <c r="F187" s="28" t="n">
        <v>170</v>
      </c>
      <c r="G187" s="29" t="n">
        <v>1</v>
      </c>
      <c r="H187" s="30" t="n">
        <v>5</v>
      </c>
    </row>
    <row r="188" s="31" customFormat="true" ht="13.8" hidden="false" customHeight="false" outlineLevel="0" collapsed="false">
      <c r="A188" s="25" t="n">
        <v>298</v>
      </c>
      <c r="B188" s="26" t="s">
        <v>118</v>
      </c>
      <c r="C188" s="26" t="s">
        <v>23</v>
      </c>
      <c r="D188" s="27" t="s">
        <v>85</v>
      </c>
      <c r="E188" s="26" t="n">
        <v>2001</v>
      </c>
      <c r="F188" s="28" t="n">
        <v>4680</v>
      </c>
      <c r="G188" s="29" t="n">
        <v>4</v>
      </c>
      <c r="H188" s="30" t="n">
        <v>600</v>
      </c>
    </row>
    <row r="189" s="31" customFormat="true" ht="13.8" hidden="false" customHeight="false" outlineLevel="0" collapsed="false">
      <c r="A189" s="25" t="n">
        <v>299</v>
      </c>
      <c r="B189" s="26" t="s">
        <v>118</v>
      </c>
      <c r="C189" s="26" t="s">
        <v>23</v>
      </c>
      <c r="D189" s="27" t="s">
        <v>135</v>
      </c>
      <c r="E189" s="26" t="n">
        <v>2001</v>
      </c>
      <c r="F189" s="28" t="n">
        <v>600</v>
      </c>
      <c r="G189" s="29" t="n">
        <v>1</v>
      </c>
      <c r="H189" s="30" t="n">
        <v>30</v>
      </c>
    </row>
    <row r="190" s="31" customFormat="true" ht="13.8" hidden="false" customHeight="false" outlineLevel="0" collapsed="false">
      <c r="A190" s="32" t="n">
        <v>300</v>
      </c>
      <c r="B190" s="26" t="s">
        <v>118</v>
      </c>
      <c r="C190" s="26" t="s">
        <v>23</v>
      </c>
      <c r="D190" s="27" t="s">
        <v>26</v>
      </c>
      <c r="E190" s="26" t="n">
        <v>2001</v>
      </c>
      <c r="F190" s="28" t="n">
        <v>4160</v>
      </c>
      <c r="G190" s="29" t="n">
        <v>1</v>
      </c>
      <c r="H190" s="30" t="n">
        <v>140</v>
      </c>
    </row>
    <row r="191" s="31" customFormat="true" ht="13.8" hidden="false" customHeight="false" outlineLevel="0" collapsed="false">
      <c r="A191" s="35" t="n">
        <v>304</v>
      </c>
      <c r="B191" s="26" t="s">
        <v>136</v>
      </c>
      <c r="C191" s="26" t="str">
        <f aca="false">"0861847"</f>
        <v>0861847</v>
      </c>
      <c r="D191" s="27" t="s">
        <v>137</v>
      </c>
      <c r="E191" s="26" t="n">
        <v>1977</v>
      </c>
      <c r="F191" s="28" t="n">
        <v>6465.47</v>
      </c>
      <c r="G191" s="29" t="n">
        <v>2</v>
      </c>
      <c r="H191" s="30" t="n">
        <v>520</v>
      </c>
    </row>
    <row r="192" s="31" customFormat="true" ht="13.8" hidden="false" customHeight="false" outlineLevel="0" collapsed="false">
      <c r="A192" s="33" t="n">
        <v>306</v>
      </c>
      <c r="B192" s="26" t="s">
        <v>136</v>
      </c>
      <c r="C192" s="26" t="str">
        <f aca="false">"0862169"</f>
        <v>0862169</v>
      </c>
      <c r="D192" s="27" t="s">
        <v>138</v>
      </c>
      <c r="E192" s="26" t="n">
        <v>1986</v>
      </c>
      <c r="F192" s="28" t="n">
        <v>1864.7</v>
      </c>
      <c r="G192" s="29" t="n">
        <v>5</v>
      </c>
      <c r="H192" s="30" t="n">
        <v>450</v>
      </c>
    </row>
    <row r="193" s="31" customFormat="true" ht="13.8" hidden="false" customHeight="false" outlineLevel="0" collapsed="false">
      <c r="A193" s="25" t="n">
        <v>311</v>
      </c>
      <c r="B193" s="26" t="s">
        <v>136</v>
      </c>
      <c r="C193" s="26" t="str">
        <f aca="false">"0855685"</f>
        <v>0855685</v>
      </c>
      <c r="D193" s="27" t="s">
        <v>139</v>
      </c>
      <c r="E193" s="26" t="n">
        <v>1962</v>
      </c>
      <c r="F193" s="28" t="n">
        <f aca="false">293366.57*1.2</f>
        <v>352039.884</v>
      </c>
      <c r="G193" s="29" t="n">
        <v>1</v>
      </c>
      <c r="H193" s="30" t="n">
        <v>9100</v>
      </c>
    </row>
    <row r="194" s="31" customFormat="true" ht="13.8" hidden="false" customHeight="false" outlineLevel="0" collapsed="false">
      <c r="A194" s="25" t="n">
        <v>329</v>
      </c>
      <c r="B194" s="26" t="s">
        <v>136</v>
      </c>
      <c r="C194" s="26" t="str">
        <f aca="false">"0862800"</f>
        <v>0862800</v>
      </c>
      <c r="D194" s="27" t="s">
        <v>140</v>
      </c>
      <c r="E194" s="26" t="n">
        <v>2008</v>
      </c>
      <c r="F194" s="28" t="n">
        <v>6057.8</v>
      </c>
      <c r="G194" s="29" t="n">
        <v>1</v>
      </c>
      <c r="H194" s="30" t="n">
        <v>740</v>
      </c>
    </row>
    <row r="195" s="31" customFormat="true" ht="13.8" hidden="false" customHeight="false" outlineLevel="0" collapsed="false">
      <c r="A195" s="35" t="n">
        <v>346</v>
      </c>
      <c r="B195" s="26" t="s">
        <v>136</v>
      </c>
      <c r="C195" s="26" t="str">
        <f aca="false">"0863173"</f>
        <v>0863173</v>
      </c>
      <c r="D195" s="27" t="s">
        <v>141</v>
      </c>
      <c r="E195" s="26" t="n">
        <v>2012</v>
      </c>
      <c r="F195" s="28" t="n">
        <v>4100</v>
      </c>
      <c r="G195" s="29" t="n">
        <v>1</v>
      </c>
      <c r="H195" s="30" t="n">
        <v>970</v>
      </c>
    </row>
    <row r="196" s="31" customFormat="true" ht="13.8" hidden="false" customHeight="false" outlineLevel="0" collapsed="false">
      <c r="A196" s="32" t="n">
        <v>357</v>
      </c>
      <c r="B196" s="26" t="s">
        <v>136</v>
      </c>
      <c r="C196" s="26" t="str">
        <f aca="false">"0857840"</f>
        <v>0857840</v>
      </c>
      <c r="D196" s="27" t="s">
        <v>142</v>
      </c>
      <c r="E196" s="26" t="n">
        <v>1990</v>
      </c>
      <c r="F196" s="28" t="n">
        <v>20000</v>
      </c>
      <c r="G196" s="29" t="n">
        <v>1</v>
      </c>
      <c r="H196" s="30" t="n">
        <v>980</v>
      </c>
    </row>
    <row r="197" s="31" customFormat="true" ht="13.8" hidden="false" customHeight="false" outlineLevel="0" collapsed="false">
      <c r="A197" s="25" t="n">
        <v>366</v>
      </c>
      <c r="B197" s="26" t="s">
        <v>136</v>
      </c>
      <c r="C197" s="26" t="str">
        <f aca="false">"0859567"</f>
        <v>0859567</v>
      </c>
      <c r="D197" s="27" t="s">
        <v>121</v>
      </c>
      <c r="E197" s="26" t="n">
        <v>2006</v>
      </c>
      <c r="F197" s="28" t="n">
        <v>3600</v>
      </c>
      <c r="G197" s="29" t="n">
        <v>3</v>
      </c>
      <c r="H197" s="30" t="n">
        <v>690</v>
      </c>
    </row>
    <row r="198" s="31" customFormat="true" ht="13.8" hidden="false" customHeight="false" outlineLevel="0" collapsed="false">
      <c r="A198" s="25" t="n">
        <v>367</v>
      </c>
      <c r="B198" s="26" t="s">
        <v>136</v>
      </c>
      <c r="C198" s="26" t="str">
        <f aca="false">"0859630"</f>
        <v>0859630</v>
      </c>
      <c r="D198" s="27" t="s">
        <v>143</v>
      </c>
      <c r="E198" s="26" t="n">
        <v>2006</v>
      </c>
      <c r="F198" s="28" t="n">
        <v>3400</v>
      </c>
      <c r="G198" s="29" t="n">
        <v>1</v>
      </c>
      <c r="H198" s="30" t="n">
        <v>220</v>
      </c>
    </row>
    <row r="199" s="31" customFormat="true" ht="13.8" hidden="false" customHeight="false" outlineLevel="0" collapsed="false">
      <c r="A199" s="32" t="n">
        <v>380</v>
      </c>
      <c r="B199" s="26" t="s">
        <v>136</v>
      </c>
      <c r="C199" s="26" t="str">
        <f aca="false">"0860808"</f>
        <v>0860808</v>
      </c>
      <c r="D199" s="27" t="s">
        <v>144</v>
      </c>
      <c r="E199" s="26" t="n">
        <v>1977</v>
      </c>
      <c r="F199" s="28" t="n">
        <f aca="false">13028.52*1.2</f>
        <v>15634.224</v>
      </c>
      <c r="G199" s="29" t="n">
        <v>6</v>
      </c>
      <c r="H199" s="30" t="n">
        <v>3750</v>
      </c>
    </row>
    <row r="200" s="31" customFormat="true" ht="13.8" hidden="false" customHeight="false" outlineLevel="0" collapsed="false">
      <c r="A200" s="25" t="n">
        <v>389</v>
      </c>
      <c r="B200" s="26" t="s">
        <v>136</v>
      </c>
      <c r="C200" s="26" t="str">
        <f aca="false">"0876933"</f>
        <v>0876933</v>
      </c>
      <c r="D200" s="27" t="s">
        <v>145</v>
      </c>
      <c r="E200" s="26" t="n">
        <v>2012</v>
      </c>
      <c r="F200" s="28" t="n">
        <v>4100</v>
      </c>
      <c r="G200" s="29" t="n">
        <v>1</v>
      </c>
      <c r="H200" s="30" t="n">
        <v>620</v>
      </c>
    </row>
    <row r="201" s="31" customFormat="true" ht="13.8" hidden="false" customHeight="false" outlineLevel="0" collapsed="false">
      <c r="A201" s="25" t="n">
        <v>395</v>
      </c>
      <c r="B201" s="26" t="s">
        <v>136</v>
      </c>
      <c r="C201" s="26" t="str">
        <f aca="false">"0921190"</f>
        <v>0921190</v>
      </c>
      <c r="D201" s="27" t="s">
        <v>146</v>
      </c>
      <c r="E201" s="26" t="n">
        <v>2017</v>
      </c>
      <c r="F201" s="28" t="n">
        <v>3753.6</v>
      </c>
      <c r="G201" s="29" t="n">
        <v>1</v>
      </c>
      <c r="H201" s="30" t="n">
        <v>2150</v>
      </c>
    </row>
    <row r="202" s="31" customFormat="true" ht="13.8" hidden="false" customHeight="false" outlineLevel="0" collapsed="false">
      <c r="A202" s="25" t="n">
        <v>403</v>
      </c>
      <c r="B202" s="26" t="s">
        <v>136</v>
      </c>
      <c r="C202" s="26" t="s">
        <v>23</v>
      </c>
      <c r="D202" s="27" t="s">
        <v>147</v>
      </c>
      <c r="E202" s="26" t="n">
        <v>1986</v>
      </c>
      <c r="F202" s="28" t="n">
        <v>228000</v>
      </c>
      <c r="G202" s="29" t="n">
        <v>1</v>
      </c>
      <c r="H202" s="30" t="n">
        <v>11100</v>
      </c>
    </row>
    <row r="203" s="31" customFormat="true" ht="13.8" hidden="false" customHeight="false" outlineLevel="0" collapsed="false">
      <c r="A203" s="25" t="n">
        <v>404</v>
      </c>
      <c r="B203" s="26" t="s">
        <v>136</v>
      </c>
      <c r="C203" s="26" t="s">
        <v>23</v>
      </c>
      <c r="D203" s="27" t="s">
        <v>148</v>
      </c>
      <c r="E203" s="26" t="n">
        <v>2001</v>
      </c>
      <c r="F203" s="28" t="n">
        <v>2800</v>
      </c>
      <c r="G203" s="29" t="n">
        <v>1</v>
      </c>
      <c r="H203" s="30" t="n">
        <v>180</v>
      </c>
    </row>
    <row r="204" s="31" customFormat="true" ht="13.8" hidden="false" customHeight="false" outlineLevel="0" collapsed="false">
      <c r="A204" s="25" t="n">
        <v>411</v>
      </c>
      <c r="B204" s="26" t="s">
        <v>136</v>
      </c>
      <c r="C204" s="26" t="s">
        <v>23</v>
      </c>
      <c r="D204" s="27" t="s">
        <v>149</v>
      </c>
      <c r="E204" s="26" t="n">
        <v>2001</v>
      </c>
      <c r="F204" s="36" t="n">
        <v>7471.88</v>
      </c>
      <c r="G204" s="29" t="n">
        <v>2</v>
      </c>
      <c r="H204" s="30" t="n">
        <v>1000</v>
      </c>
    </row>
    <row r="205" s="31" customFormat="true" ht="13.8" hidden="false" customHeight="false" outlineLevel="0" collapsed="false">
      <c r="A205" s="35" t="n">
        <v>420</v>
      </c>
      <c r="B205" s="26" t="s">
        <v>150</v>
      </c>
      <c r="C205" s="26" t="str">
        <f aca="false">"0865753"</f>
        <v>0865753</v>
      </c>
      <c r="D205" s="27" t="s">
        <v>88</v>
      </c>
      <c r="E205" s="26" t="n">
        <v>1975</v>
      </c>
      <c r="F205" s="28" t="n">
        <v>1024.82</v>
      </c>
      <c r="G205" s="29" t="n">
        <v>4</v>
      </c>
      <c r="H205" s="30" t="n">
        <v>120</v>
      </c>
    </row>
    <row r="206" s="31" customFormat="true" ht="13.8" hidden="false" customHeight="false" outlineLevel="0" collapsed="false">
      <c r="A206" s="33" t="n">
        <v>422</v>
      </c>
      <c r="B206" s="26" t="s">
        <v>150</v>
      </c>
      <c r="C206" s="26" t="str">
        <f aca="false">"0865834"</f>
        <v>0865834</v>
      </c>
      <c r="D206" s="27" t="s">
        <v>151</v>
      </c>
      <c r="E206" s="26" t="n">
        <v>1975</v>
      </c>
      <c r="F206" s="28" t="n">
        <v>419.05</v>
      </c>
      <c r="G206" s="29" t="n">
        <v>1</v>
      </c>
      <c r="H206" s="30" t="n">
        <v>15</v>
      </c>
    </row>
    <row r="207" s="31" customFormat="true" ht="13.8" hidden="false" customHeight="false" outlineLevel="0" collapsed="false">
      <c r="A207" s="32" t="n">
        <v>423</v>
      </c>
      <c r="B207" s="26" t="s">
        <v>150</v>
      </c>
      <c r="C207" s="26" t="str">
        <f aca="false">"0855332"</f>
        <v>0855332</v>
      </c>
      <c r="D207" s="27" t="s">
        <v>152</v>
      </c>
      <c r="E207" s="26" t="n">
        <v>1999</v>
      </c>
      <c r="F207" s="28" t="n">
        <v>9500</v>
      </c>
      <c r="G207" s="29" t="n">
        <v>1</v>
      </c>
      <c r="H207" s="30" t="n">
        <v>600</v>
      </c>
    </row>
    <row r="208" s="31" customFormat="true" ht="13.8" hidden="false" customHeight="false" outlineLevel="0" collapsed="false">
      <c r="A208" s="33" t="n">
        <v>426</v>
      </c>
      <c r="B208" s="26" t="s">
        <v>150</v>
      </c>
      <c r="C208" s="26" t="str">
        <f aca="false">"0866083"</f>
        <v>0866083</v>
      </c>
      <c r="D208" s="27" t="s">
        <v>41</v>
      </c>
      <c r="E208" s="26" t="n">
        <v>1976</v>
      </c>
      <c r="F208" s="28" t="n">
        <v>1181.31</v>
      </c>
      <c r="G208" s="29" t="n">
        <v>2</v>
      </c>
      <c r="H208" s="30" t="n">
        <v>80</v>
      </c>
    </row>
    <row r="209" s="31" customFormat="true" ht="13.8" hidden="false" customHeight="false" outlineLevel="0" collapsed="false">
      <c r="A209" s="25" t="n">
        <v>427</v>
      </c>
      <c r="B209" s="26" t="s">
        <v>150</v>
      </c>
      <c r="C209" s="26" t="str">
        <f aca="false">"0866105"</f>
        <v>0866105</v>
      </c>
      <c r="D209" s="27" t="s">
        <v>34</v>
      </c>
      <c r="E209" s="26" t="n">
        <v>1976</v>
      </c>
      <c r="F209" s="28" t="n">
        <v>824.71</v>
      </c>
      <c r="G209" s="29" t="n">
        <v>1</v>
      </c>
      <c r="H209" s="30" t="n">
        <v>30</v>
      </c>
    </row>
    <row r="210" s="31" customFormat="true" ht="13.8" hidden="false" customHeight="false" outlineLevel="0" collapsed="false">
      <c r="A210" s="33" t="n">
        <v>430</v>
      </c>
      <c r="B210" s="26" t="s">
        <v>150</v>
      </c>
      <c r="C210" s="26" t="str">
        <f aca="false">"0855707"</f>
        <v>0855707</v>
      </c>
      <c r="D210" s="27" t="s">
        <v>153</v>
      </c>
      <c r="E210" s="26" t="n">
        <v>1962</v>
      </c>
      <c r="F210" s="28" t="n">
        <v>762.19</v>
      </c>
      <c r="G210" s="29" t="n">
        <v>1</v>
      </c>
      <c r="H210" s="30" t="n">
        <v>15</v>
      </c>
    </row>
    <row r="211" s="31" customFormat="true" ht="13.8" hidden="false" customHeight="false" outlineLevel="0" collapsed="false">
      <c r="A211" s="25" t="n">
        <v>431</v>
      </c>
      <c r="B211" s="26" t="s">
        <v>150</v>
      </c>
      <c r="C211" s="26" t="str">
        <f aca="false">"0866520"</f>
        <v>0866520</v>
      </c>
      <c r="D211" s="27" t="s">
        <v>154</v>
      </c>
      <c r="E211" s="26" t="n">
        <v>1977</v>
      </c>
      <c r="F211" s="28" t="n">
        <v>7865.8</v>
      </c>
      <c r="G211" s="29" t="n">
        <v>1</v>
      </c>
      <c r="H211" s="30" t="n">
        <v>300</v>
      </c>
    </row>
    <row r="212" s="31" customFormat="true" ht="13.8" hidden="false" customHeight="false" outlineLevel="0" collapsed="false">
      <c r="A212" s="25" t="n">
        <v>432</v>
      </c>
      <c r="B212" s="26" t="s">
        <v>150</v>
      </c>
      <c r="C212" s="26" t="str">
        <f aca="false">"0856037"</f>
        <v>0856037</v>
      </c>
      <c r="D212" s="27" t="s">
        <v>155</v>
      </c>
      <c r="E212" s="26" t="n">
        <v>1969</v>
      </c>
      <c r="F212" s="28" t="n">
        <v>17623.07</v>
      </c>
      <c r="G212" s="29" t="n">
        <v>4</v>
      </c>
      <c r="H212" s="30" t="n">
        <v>2200</v>
      </c>
    </row>
    <row r="213" s="31" customFormat="true" ht="13.8" hidden="false" customHeight="false" outlineLevel="0" collapsed="false">
      <c r="A213" s="37" t="n">
        <v>433</v>
      </c>
      <c r="B213" s="26" t="s">
        <v>150</v>
      </c>
      <c r="C213" s="26" t="str">
        <f aca="false">"0856142"</f>
        <v>0856142</v>
      </c>
      <c r="D213" s="27" t="s">
        <v>156</v>
      </c>
      <c r="E213" s="26" t="n">
        <v>1971</v>
      </c>
      <c r="F213" s="28" t="n">
        <f aca="false">670499.49*1.4</f>
        <v>938699.286</v>
      </c>
      <c r="G213" s="29" t="n">
        <v>1</v>
      </c>
      <c r="H213" s="30" t="n">
        <v>30340</v>
      </c>
    </row>
    <row r="214" s="31" customFormat="true" ht="13.8" hidden="false" customHeight="false" outlineLevel="0" collapsed="false">
      <c r="A214" s="25" t="n">
        <v>434</v>
      </c>
      <c r="B214" s="26" t="s">
        <v>150</v>
      </c>
      <c r="C214" s="26" t="str">
        <f aca="false">"0867144"</f>
        <v>0867144</v>
      </c>
      <c r="D214" s="27" t="s">
        <v>27</v>
      </c>
      <c r="E214" s="26" t="n">
        <v>1980</v>
      </c>
      <c r="F214" s="28" t="n">
        <v>449.48</v>
      </c>
      <c r="G214" s="29" t="n">
        <v>1</v>
      </c>
      <c r="H214" s="30" t="n">
        <v>20</v>
      </c>
    </row>
    <row r="215" s="31" customFormat="true" ht="13.8" hidden="false" customHeight="false" outlineLevel="0" collapsed="false">
      <c r="A215" s="25" t="n">
        <v>435</v>
      </c>
      <c r="B215" s="26" t="s">
        <v>150</v>
      </c>
      <c r="C215" s="26" t="str">
        <f aca="false">"0867217"</f>
        <v>0867217</v>
      </c>
      <c r="D215" s="27" t="s">
        <v>157</v>
      </c>
      <c r="E215" s="26" t="n">
        <v>1983</v>
      </c>
      <c r="F215" s="28" t="n">
        <v>646.83</v>
      </c>
      <c r="G215" s="29" t="n">
        <v>5</v>
      </c>
      <c r="H215" s="30" t="n">
        <v>150</v>
      </c>
    </row>
    <row r="216" s="31" customFormat="true" ht="13.8" hidden="false" customHeight="false" outlineLevel="0" collapsed="false">
      <c r="A216" s="25" t="n">
        <v>436</v>
      </c>
      <c r="B216" s="26" t="s">
        <v>150</v>
      </c>
      <c r="C216" s="26" t="str">
        <f aca="false">"0867225"</f>
        <v>0867225</v>
      </c>
      <c r="D216" s="27" t="s">
        <v>158</v>
      </c>
      <c r="E216" s="26" t="n">
        <v>1983</v>
      </c>
      <c r="F216" s="28" t="n">
        <v>957.61</v>
      </c>
      <c r="G216" s="29" t="n">
        <v>14</v>
      </c>
      <c r="H216" s="30" t="n">
        <v>560</v>
      </c>
    </row>
    <row r="217" s="31" customFormat="true" ht="13.8" hidden="false" customHeight="false" outlineLevel="0" collapsed="false">
      <c r="A217" s="25" t="n">
        <v>437</v>
      </c>
      <c r="B217" s="26" t="s">
        <v>150</v>
      </c>
      <c r="C217" s="26" t="str">
        <f aca="false">"0856517"</f>
        <v>0856517</v>
      </c>
      <c r="D217" s="27" t="s">
        <v>153</v>
      </c>
      <c r="E217" s="26" t="n">
        <v>1973</v>
      </c>
      <c r="F217" s="28" t="n">
        <v>17478.16</v>
      </c>
      <c r="G217" s="29" t="n">
        <v>9</v>
      </c>
      <c r="H217" s="30" t="n">
        <v>5400</v>
      </c>
    </row>
    <row r="218" s="31" customFormat="true" ht="13.8" hidden="false" customHeight="false" outlineLevel="0" collapsed="false">
      <c r="A218" s="25" t="n">
        <v>441</v>
      </c>
      <c r="B218" s="26" t="s">
        <v>150</v>
      </c>
      <c r="C218" s="26" t="str">
        <f aca="false">"0867403"</f>
        <v>0867403</v>
      </c>
      <c r="D218" s="27" t="s">
        <v>158</v>
      </c>
      <c r="E218" s="26" t="n">
        <v>1983</v>
      </c>
      <c r="F218" s="28" t="n">
        <v>957.61</v>
      </c>
      <c r="G218" s="29" t="n">
        <v>15</v>
      </c>
      <c r="H218" s="30" t="n">
        <v>600</v>
      </c>
    </row>
    <row r="219" s="31" customFormat="true" ht="13.8" hidden="false" customHeight="false" outlineLevel="0" collapsed="false">
      <c r="A219" s="25" t="n">
        <v>442</v>
      </c>
      <c r="B219" s="26" t="s">
        <v>150</v>
      </c>
      <c r="C219" s="26" t="str">
        <f aca="false">"0867578"</f>
        <v>0867578</v>
      </c>
      <c r="D219" s="27" t="s">
        <v>88</v>
      </c>
      <c r="E219" s="26" t="n">
        <v>1983</v>
      </c>
      <c r="F219" s="28" t="n">
        <v>1732.08</v>
      </c>
      <c r="G219" s="29" t="n">
        <v>1</v>
      </c>
      <c r="H219" s="30" t="n">
        <v>60</v>
      </c>
    </row>
    <row r="220" s="31" customFormat="true" ht="13.8" hidden="false" customHeight="false" outlineLevel="0" collapsed="false">
      <c r="A220" s="25" t="n">
        <v>443</v>
      </c>
      <c r="B220" s="26" t="s">
        <v>150</v>
      </c>
      <c r="C220" s="26" t="str">
        <f aca="false">"0867586"</f>
        <v>0867586</v>
      </c>
      <c r="D220" s="27" t="s">
        <v>159</v>
      </c>
      <c r="E220" s="26" t="n">
        <v>1983</v>
      </c>
      <c r="F220" s="28" t="n">
        <v>923.8</v>
      </c>
      <c r="G220" s="29" t="n">
        <v>1</v>
      </c>
      <c r="H220" s="30" t="n">
        <v>40</v>
      </c>
    </row>
    <row r="221" s="31" customFormat="true" ht="13.8" hidden="false" customHeight="false" outlineLevel="0" collapsed="false">
      <c r="A221" s="25" t="n">
        <v>444</v>
      </c>
      <c r="B221" s="26" t="s">
        <v>150</v>
      </c>
      <c r="C221" s="26" t="str">
        <f aca="false">"0867594"</f>
        <v>0867594</v>
      </c>
      <c r="D221" s="27" t="s">
        <v>88</v>
      </c>
      <c r="E221" s="26" t="n">
        <v>1983</v>
      </c>
      <c r="F221" s="28" t="n">
        <v>1732.08</v>
      </c>
      <c r="G221" s="29" t="n">
        <v>1</v>
      </c>
      <c r="H221" s="30" t="n">
        <v>60</v>
      </c>
    </row>
    <row r="222" s="31" customFormat="true" ht="13.8" hidden="false" customHeight="false" outlineLevel="0" collapsed="false">
      <c r="A222" s="25" t="n">
        <v>445</v>
      </c>
      <c r="B222" s="26" t="s">
        <v>150</v>
      </c>
      <c r="C222" s="26" t="str">
        <f aca="false">"0867608"</f>
        <v>0867608</v>
      </c>
      <c r="D222" s="27" t="s">
        <v>160</v>
      </c>
      <c r="E222" s="26" t="n">
        <v>1983</v>
      </c>
      <c r="F222" s="28" t="n">
        <v>634.95</v>
      </c>
      <c r="G222" s="29" t="n">
        <v>1</v>
      </c>
      <c r="H222" s="30" t="n">
        <v>25</v>
      </c>
    </row>
    <row r="223" s="31" customFormat="true" ht="13.8" hidden="false" customHeight="false" outlineLevel="0" collapsed="false">
      <c r="A223" s="25" t="n">
        <v>446</v>
      </c>
      <c r="B223" s="26" t="s">
        <v>150</v>
      </c>
      <c r="C223" s="26" t="str">
        <f aca="false">"0867659"</f>
        <v>0867659</v>
      </c>
      <c r="D223" s="27" t="s">
        <v>88</v>
      </c>
      <c r="E223" s="26" t="n">
        <v>1983</v>
      </c>
      <c r="F223" s="28" t="n">
        <v>1154.67</v>
      </c>
      <c r="G223" s="29" t="n">
        <v>1</v>
      </c>
      <c r="H223" s="30" t="n">
        <v>50</v>
      </c>
    </row>
    <row r="224" s="31" customFormat="true" ht="13.8" hidden="false" customHeight="false" outlineLevel="0" collapsed="false">
      <c r="A224" s="25" t="n">
        <v>447</v>
      </c>
      <c r="B224" s="26" t="s">
        <v>150</v>
      </c>
      <c r="C224" s="26" t="str">
        <f aca="false">"0867667"</f>
        <v>0867667</v>
      </c>
      <c r="D224" s="27" t="s">
        <v>161</v>
      </c>
      <c r="E224" s="26" t="n">
        <v>1983</v>
      </c>
      <c r="F224" s="28" t="n">
        <v>519.58</v>
      </c>
      <c r="G224" s="29" t="n">
        <v>1</v>
      </c>
      <c r="H224" s="30" t="n">
        <v>20</v>
      </c>
    </row>
    <row r="225" s="31" customFormat="true" ht="13.8" hidden="false" customHeight="false" outlineLevel="0" collapsed="false">
      <c r="A225" s="25" t="n">
        <v>448</v>
      </c>
      <c r="B225" s="26" t="s">
        <v>150</v>
      </c>
      <c r="C225" s="26" t="str">
        <f aca="false">"0867675"</f>
        <v>0867675</v>
      </c>
      <c r="D225" s="27" t="s">
        <v>162</v>
      </c>
      <c r="E225" s="26" t="n">
        <v>1983</v>
      </c>
      <c r="F225" s="28" t="n">
        <v>461.89</v>
      </c>
      <c r="G225" s="29" t="n">
        <v>1</v>
      </c>
      <c r="H225" s="30" t="n">
        <v>15</v>
      </c>
    </row>
    <row r="226" s="31" customFormat="true" ht="13.8" hidden="false" customHeight="false" outlineLevel="0" collapsed="false">
      <c r="A226" s="25" t="n">
        <v>449</v>
      </c>
      <c r="B226" s="26" t="s">
        <v>150</v>
      </c>
      <c r="C226" s="26" t="str">
        <f aca="false">"0867713"</f>
        <v>0867713</v>
      </c>
      <c r="D226" s="27" t="s">
        <v>163</v>
      </c>
      <c r="E226" s="26" t="n">
        <v>1983</v>
      </c>
      <c r="F226" s="28" t="n">
        <v>3695.05</v>
      </c>
      <c r="G226" s="29" t="n">
        <v>1</v>
      </c>
      <c r="H226" s="30" t="n">
        <v>160</v>
      </c>
    </row>
    <row r="227" s="31" customFormat="true" ht="13.8" hidden="false" customHeight="false" outlineLevel="0" collapsed="false">
      <c r="A227" s="32" t="n">
        <v>450</v>
      </c>
      <c r="B227" s="26" t="s">
        <v>150</v>
      </c>
      <c r="C227" s="26" t="str">
        <f aca="false">"0856908"</f>
        <v>0856908</v>
      </c>
      <c r="D227" s="27" t="s">
        <v>164</v>
      </c>
      <c r="E227" s="26" t="n">
        <v>1983</v>
      </c>
      <c r="F227" s="28" t="n">
        <v>145811.24</v>
      </c>
      <c r="G227" s="29" t="n">
        <v>4</v>
      </c>
      <c r="H227" s="30" t="n">
        <v>26000</v>
      </c>
    </row>
    <row r="228" s="31" customFormat="true" ht="13.8" hidden="false" customHeight="false" outlineLevel="0" collapsed="false">
      <c r="A228" s="33" t="n">
        <v>452</v>
      </c>
      <c r="B228" s="26" t="s">
        <v>150</v>
      </c>
      <c r="C228" s="26" t="str">
        <f aca="false">"0856975"</f>
        <v>0856975</v>
      </c>
      <c r="D228" s="27" t="s">
        <v>165</v>
      </c>
      <c r="E228" s="26" t="n">
        <v>1984</v>
      </c>
      <c r="F228" s="28" t="n">
        <v>2344512.99</v>
      </c>
      <c r="G228" s="29" t="n">
        <v>1</v>
      </c>
      <c r="H228" s="30" t="n">
        <v>105500</v>
      </c>
    </row>
    <row r="229" s="31" customFormat="true" ht="13.8" hidden="false" customHeight="false" outlineLevel="0" collapsed="false">
      <c r="A229" s="25" t="n">
        <v>454</v>
      </c>
      <c r="B229" s="26" t="s">
        <v>150</v>
      </c>
      <c r="C229" s="26" t="str">
        <f aca="false">"0857262"</f>
        <v>0857262</v>
      </c>
      <c r="D229" s="27" t="s">
        <v>166</v>
      </c>
      <c r="E229" s="26" t="n">
        <v>1985</v>
      </c>
      <c r="F229" s="28" t="n">
        <v>582.24</v>
      </c>
      <c r="G229" s="29" t="n">
        <v>1</v>
      </c>
      <c r="H229" s="30" t="n">
        <v>30</v>
      </c>
    </row>
    <row r="230" s="31" customFormat="true" ht="13.8" hidden="false" customHeight="false" outlineLevel="0" collapsed="false">
      <c r="A230" s="25" t="n">
        <v>456</v>
      </c>
      <c r="B230" s="26" t="s">
        <v>150</v>
      </c>
      <c r="C230" s="26" t="str">
        <f aca="false">"0867810"</f>
        <v>0867810</v>
      </c>
      <c r="D230" s="27" t="s">
        <v>88</v>
      </c>
      <c r="E230" s="26" t="n">
        <v>1983</v>
      </c>
      <c r="F230" s="28" t="n">
        <v>1732.08</v>
      </c>
      <c r="G230" s="29" t="n">
        <v>3</v>
      </c>
      <c r="H230" s="30" t="n">
        <v>150</v>
      </c>
    </row>
    <row r="231" s="31" customFormat="true" ht="13.8" hidden="false" customHeight="false" outlineLevel="0" collapsed="false">
      <c r="A231" s="25" t="n">
        <v>457</v>
      </c>
      <c r="B231" s="26" t="s">
        <v>150</v>
      </c>
      <c r="C231" s="26" t="str">
        <f aca="false">"0867845"</f>
        <v>0867845</v>
      </c>
      <c r="D231" s="27" t="s">
        <v>167</v>
      </c>
      <c r="E231" s="26" t="n">
        <v>1983</v>
      </c>
      <c r="F231" s="28" t="n">
        <v>923.8</v>
      </c>
      <c r="G231" s="29" t="n">
        <v>1</v>
      </c>
      <c r="H231" s="30" t="n">
        <v>40</v>
      </c>
    </row>
    <row r="232" s="31" customFormat="true" ht="13.8" hidden="false" customHeight="false" outlineLevel="0" collapsed="false">
      <c r="A232" s="25" t="n">
        <v>458</v>
      </c>
      <c r="B232" s="26" t="s">
        <v>150</v>
      </c>
      <c r="C232" s="26" t="str">
        <f aca="false">"0867853"</f>
        <v>0867853</v>
      </c>
      <c r="D232" s="27" t="s">
        <v>168</v>
      </c>
      <c r="E232" s="26" t="n">
        <v>1983</v>
      </c>
      <c r="F232" s="28" t="n">
        <v>2886.76</v>
      </c>
      <c r="G232" s="29" t="n">
        <v>3</v>
      </c>
      <c r="H232" s="30" t="n">
        <v>360</v>
      </c>
    </row>
    <row r="233" s="31" customFormat="true" ht="13.8" hidden="false" customHeight="false" outlineLevel="0" collapsed="false">
      <c r="A233" s="25" t="n">
        <v>459</v>
      </c>
      <c r="B233" s="26" t="s">
        <v>150</v>
      </c>
      <c r="C233" s="26" t="str">
        <f aca="false">"0867861"</f>
        <v>0867861</v>
      </c>
      <c r="D233" s="27" t="s">
        <v>158</v>
      </c>
      <c r="E233" s="26" t="n">
        <v>1983</v>
      </c>
      <c r="F233" s="28" t="n">
        <v>957.61</v>
      </c>
      <c r="G233" s="29" t="n">
        <v>7</v>
      </c>
      <c r="H233" s="30" t="n">
        <v>280</v>
      </c>
    </row>
    <row r="234" s="31" customFormat="true" ht="13.8" hidden="false" customHeight="false" outlineLevel="0" collapsed="false">
      <c r="A234" s="25" t="n">
        <v>460</v>
      </c>
      <c r="B234" s="26" t="s">
        <v>150</v>
      </c>
      <c r="C234" s="26" t="str">
        <f aca="false">"0867934"</f>
        <v>0867934</v>
      </c>
      <c r="D234" s="27" t="s">
        <v>157</v>
      </c>
      <c r="E234" s="26" t="n">
        <v>1983</v>
      </c>
      <c r="F234" s="28" t="n">
        <v>180.64</v>
      </c>
      <c r="G234" s="29" t="n">
        <v>2</v>
      </c>
      <c r="H234" s="30" t="n">
        <v>20</v>
      </c>
    </row>
    <row r="235" s="31" customFormat="true" ht="13.8" hidden="false" customHeight="false" outlineLevel="0" collapsed="false">
      <c r="A235" s="25" t="n">
        <v>461</v>
      </c>
      <c r="B235" s="26" t="s">
        <v>150</v>
      </c>
      <c r="C235" s="26" t="str">
        <f aca="false">"0867977"</f>
        <v>0867977</v>
      </c>
      <c r="D235" s="27" t="s">
        <v>169</v>
      </c>
      <c r="E235" s="26" t="n">
        <v>1983</v>
      </c>
      <c r="F235" s="28" t="n">
        <v>519.58</v>
      </c>
      <c r="G235" s="29" t="n">
        <v>2</v>
      </c>
      <c r="H235" s="30" t="n">
        <v>40</v>
      </c>
    </row>
    <row r="236" s="31" customFormat="true" ht="13.8" hidden="false" customHeight="false" outlineLevel="0" collapsed="false">
      <c r="A236" s="25" t="n">
        <v>462</v>
      </c>
      <c r="B236" s="26" t="s">
        <v>150</v>
      </c>
      <c r="C236" s="26" t="str">
        <f aca="false">"0868019"</f>
        <v>0868019</v>
      </c>
      <c r="D236" s="27" t="s">
        <v>170</v>
      </c>
      <c r="E236" s="26" t="n">
        <v>1983</v>
      </c>
      <c r="F236" s="28" t="n">
        <v>346.39</v>
      </c>
      <c r="G236" s="29" t="n">
        <v>1</v>
      </c>
      <c r="H236" s="30" t="n">
        <v>15</v>
      </c>
    </row>
    <row r="237" s="31" customFormat="true" ht="13.8" hidden="false" customHeight="false" outlineLevel="0" collapsed="false">
      <c r="A237" s="25" t="n">
        <v>463</v>
      </c>
      <c r="B237" s="26" t="s">
        <v>150</v>
      </c>
      <c r="C237" s="26" t="str">
        <f aca="false">"0868027"</f>
        <v>0868027</v>
      </c>
      <c r="D237" s="27" t="s">
        <v>171</v>
      </c>
      <c r="E237" s="26" t="n">
        <v>1983</v>
      </c>
      <c r="F237" s="28" t="n">
        <v>1385.56</v>
      </c>
      <c r="G237" s="29" t="n">
        <v>1</v>
      </c>
      <c r="H237" s="30" t="n">
        <v>50</v>
      </c>
    </row>
    <row r="238" s="31" customFormat="true" ht="13.8" hidden="false" customHeight="false" outlineLevel="0" collapsed="false">
      <c r="A238" s="25" t="n">
        <v>464</v>
      </c>
      <c r="B238" s="26" t="s">
        <v>150</v>
      </c>
      <c r="C238" s="26" t="str">
        <f aca="false">"0868035"</f>
        <v>0868035</v>
      </c>
      <c r="D238" s="27" t="s">
        <v>172</v>
      </c>
      <c r="E238" s="26" t="n">
        <v>1983</v>
      </c>
      <c r="F238" s="28" t="n">
        <v>1847.46</v>
      </c>
      <c r="G238" s="29" t="n">
        <v>1</v>
      </c>
      <c r="H238" s="30" t="n">
        <v>70</v>
      </c>
    </row>
    <row r="239" s="31" customFormat="true" ht="13.8" hidden="false" customHeight="false" outlineLevel="0" collapsed="false">
      <c r="A239" s="25" t="n">
        <v>465</v>
      </c>
      <c r="B239" s="26" t="s">
        <v>150</v>
      </c>
      <c r="C239" s="26" t="str">
        <f aca="false">"0868043"</f>
        <v>0868043</v>
      </c>
      <c r="D239" s="27" t="s">
        <v>173</v>
      </c>
      <c r="E239" s="26" t="n">
        <v>1983</v>
      </c>
      <c r="F239" s="28" t="n">
        <v>3169.66</v>
      </c>
      <c r="G239" s="29" t="n">
        <v>1</v>
      </c>
      <c r="H239" s="30" t="n">
        <v>140</v>
      </c>
    </row>
    <row r="240" s="31" customFormat="true" ht="13.8" hidden="false" customHeight="false" outlineLevel="0" collapsed="false">
      <c r="A240" s="25" t="n">
        <v>466</v>
      </c>
      <c r="B240" s="26" t="s">
        <v>150</v>
      </c>
      <c r="C240" s="26" t="str">
        <f aca="false">"0868051"</f>
        <v>0868051</v>
      </c>
      <c r="D240" s="27" t="s">
        <v>88</v>
      </c>
      <c r="E240" s="26" t="n">
        <v>1983</v>
      </c>
      <c r="F240" s="28" t="n">
        <v>1732.08</v>
      </c>
      <c r="G240" s="29" t="n">
        <v>1</v>
      </c>
      <c r="H240" s="30" t="n">
        <v>60</v>
      </c>
    </row>
    <row r="241" s="31" customFormat="true" ht="13.8" hidden="false" customHeight="false" outlineLevel="0" collapsed="false">
      <c r="A241" s="25" t="n">
        <v>467</v>
      </c>
      <c r="B241" s="26" t="s">
        <v>150</v>
      </c>
      <c r="C241" s="26" t="str">
        <f aca="false">"0868060"</f>
        <v>0868060</v>
      </c>
      <c r="D241" s="27" t="s">
        <v>162</v>
      </c>
      <c r="E241" s="26" t="n">
        <v>1983</v>
      </c>
      <c r="F241" s="28" t="n">
        <v>461.89</v>
      </c>
      <c r="G241" s="29" t="n">
        <v>2</v>
      </c>
      <c r="H241" s="30" t="n">
        <v>40</v>
      </c>
    </row>
    <row r="242" s="31" customFormat="true" ht="13.8" hidden="false" customHeight="false" outlineLevel="0" collapsed="false">
      <c r="A242" s="25" t="n">
        <v>468</v>
      </c>
      <c r="B242" s="26" t="s">
        <v>150</v>
      </c>
      <c r="C242" s="26" t="str">
        <f aca="false">"0868086"</f>
        <v>0868086</v>
      </c>
      <c r="D242" s="27" t="s">
        <v>151</v>
      </c>
      <c r="E242" s="26" t="n">
        <v>1983</v>
      </c>
      <c r="F242" s="28" t="n">
        <v>2886.76</v>
      </c>
      <c r="G242" s="29" t="n">
        <v>1</v>
      </c>
      <c r="H242" s="30" t="n">
        <v>120</v>
      </c>
    </row>
    <row r="243" s="31" customFormat="true" ht="13.8" hidden="false" customHeight="false" outlineLevel="0" collapsed="false">
      <c r="A243" s="25" t="n">
        <v>469</v>
      </c>
      <c r="B243" s="26" t="s">
        <v>150</v>
      </c>
      <c r="C243" s="26" t="str">
        <f aca="false">"0868094"</f>
        <v>0868094</v>
      </c>
      <c r="D243" s="27" t="s">
        <v>174</v>
      </c>
      <c r="E243" s="26" t="n">
        <v>1983</v>
      </c>
      <c r="F243" s="28" t="n">
        <v>230.95</v>
      </c>
      <c r="G243" s="29" t="n">
        <v>1</v>
      </c>
      <c r="H243" s="30" t="n">
        <v>10</v>
      </c>
    </row>
    <row r="244" s="31" customFormat="true" ht="13.8" hidden="false" customHeight="false" outlineLevel="0" collapsed="false">
      <c r="A244" s="25" t="n">
        <v>470</v>
      </c>
      <c r="B244" s="26" t="s">
        <v>150</v>
      </c>
      <c r="C244" s="26" t="str">
        <f aca="false">"0868108"</f>
        <v>0868108</v>
      </c>
      <c r="D244" s="27" t="s">
        <v>174</v>
      </c>
      <c r="E244" s="26" t="n">
        <v>1983</v>
      </c>
      <c r="F244" s="28" t="n">
        <v>461.89</v>
      </c>
      <c r="G244" s="29" t="n">
        <v>1</v>
      </c>
      <c r="H244" s="30" t="n">
        <v>20</v>
      </c>
    </row>
    <row r="245" s="31" customFormat="true" ht="13.8" hidden="false" customHeight="false" outlineLevel="0" collapsed="false">
      <c r="A245" s="25" t="n">
        <v>471</v>
      </c>
      <c r="B245" s="26" t="s">
        <v>150</v>
      </c>
      <c r="C245" s="26" t="str">
        <f aca="false">"0868116"</f>
        <v>0868116</v>
      </c>
      <c r="D245" s="27" t="s">
        <v>175</v>
      </c>
      <c r="E245" s="26" t="n">
        <v>1983</v>
      </c>
      <c r="F245" s="28" t="n">
        <v>2309.35</v>
      </c>
      <c r="G245" s="29" t="n">
        <v>1</v>
      </c>
      <c r="H245" s="30" t="n">
        <v>100</v>
      </c>
    </row>
    <row r="246" s="31" customFormat="true" ht="13.8" hidden="false" customHeight="false" outlineLevel="0" collapsed="false">
      <c r="A246" s="25" t="n">
        <v>472</v>
      </c>
      <c r="B246" s="26" t="s">
        <v>150</v>
      </c>
      <c r="C246" s="26" t="str">
        <f aca="false">"0868167"</f>
        <v>0868167</v>
      </c>
      <c r="D246" s="27" t="s">
        <v>151</v>
      </c>
      <c r="E246" s="26" t="n">
        <v>1983</v>
      </c>
      <c r="F246" s="28" t="n">
        <v>2886.76</v>
      </c>
      <c r="G246" s="29" t="n">
        <v>2</v>
      </c>
      <c r="H246" s="30" t="n">
        <v>240</v>
      </c>
    </row>
    <row r="247" s="31" customFormat="true" ht="13.8" hidden="false" customHeight="false" outlineLevel="0" collapsed="false">
      <c r="A247" s="25" t="n">
        <v>476</v>
      </c>
      <c r="B247" s="26" t="s">
        <v>150</v>
      </c>
      <c r="C247" s="26" t="str">
        <f aca="false">"0868272"</f>
        <v>0868272</v>
      </c>
      <c r="D247" s="27" t="s">
        <v>162</v>
      </c>
      <c r="E247" s="26" t="n">
        <v>1983</v>
      </c>
      <c r="F247" s="28" t="n">
        <v>461.89</v>
      </c>
      <c r="G247" s="29" t="n">
        <v>1</v>
      </c>
      <c r="H247" s="30" t="n">
        <v>20</v>
      </c>
    </row>
    <row r="248" s="31" customFormat="true" ht="13.8" hidden="false" customHeight="false" outlineLevel="0" collapsed="false">
      <c r="A248" s="25" t="n">
        <v>477</v>
      </c>
      <c r="B248" s="26" t="s">
        <v>150</v>
      </c>
      <c r="C248" s="26" t="str">
        <f aca="false">"0868280"</f>
        <v>0868280</v>
      </c>
      <c r="D248" s="27" t="s">
        <v>176</v>
      </c>
      <c r="E248" s="26" t="n">
        <v>1983</v>
      </c>
      <c r="F248" s="28" t="n">
        <v>1154.67</v>
      </c>
      <c r="G248" s="29" t="n">
        <v>1</v>
      </c>
      <c r="H248" s="30" t="n">
        <v>40</v>
      </c>
    </row>
    <row r="249" s="31" customFormat="true" ht="13.8" hidden="false" customHeight="false" outlineLevel="0" collapsed="false">
      <c r="A249" s="25" t="n">
        <v>478</v>
      </c>
      <c r="B249" s="26" t="s">
        <v>150</v>
      </c>
      <c r="C249" s="26" t="str">
        <f aca="false">"0868299"</f>
        <v>0868299</v>
      </c>
      <c r="D249" s="27" t="s">
        <v>151</v>
      </c>
      <c r="E249" s="26" t="n">
        <v>1983</v>
      </c>
      <c r="F249" s="28" t="n">
        <v>2886.76</v>
      </c>
      <c r="G249" s="29" t="n">
        <v>1</v>
      </c>
      <c r="H249" s="30" t="n">
        <v>120</v>
      </c>
    </row>
    <row r="250" s="31" customFormat="true" ht="13.8" hidden="false" customHeight="false" outlineLevel="0" collapsed="false">
      <c r="A250" s="25" t="n">
        <v>479</v>
      </c>
      <c r="B250" s="26" t="s">
        <v>150</v>
      </c>
      <c r="C250" s="26" t="str">
        <f aca="false">"0868302"</f>
        <v>0868302</v>
      </c>
      <c r="D250" s="27" t="s">
        <v>177</v>
      </c>
      <c r="E250" s="26" t="n">
        <v>1983</v>
      </c>
      <c r="F250" s="28" t="n">
        <v>519.58</v>
      </c>
      <c r="G250" s="29" t="n">
        <v>1</v>
      </c>
      <c r="H250" s="30" t="n">
        <v>20</v>
      </c>
    </row>
    <row r="251" s="31" customFormat="true" ht="13.8" hidden="false" customHeight="false" outlineLevel="0" collapsed="false">
      <c r="A251" s="25" t="n">
        <v>480</v>
      </c>
      <c r="B251" s="26" t="s">
        <v>150</v>
      </c>
      <c r="C251" s="26" t="str">
        <f aca="false">"0868310"</f>
        <v>0868310</v>
      </c>
      <c r="D251" s="27" t="s">
        <v>178</v>
      </c>
      <c r="E251" s="26" t="n">
        <v>1983</v>
      </c>
      <c r="F251" s="28" t="n">
        <v>375.3</v>
      </c>
      <c r="G251" s="29" t="n">
        <v>1</v>
      </c>
      <c r="H251" s="30" t="n">
        <v>15</v>
      </c>
    </row>
    <row r="252" s="31" customFormat="true" ht="13.8" hidden="false" customHeight="false" outlineLevel="0" collapsed="false">
      <c r="A252" s="25" t="n">
        <v>482</v>
      </c>
      <c r="B252" s="26" t="s">
        <v>150</v>
      </c>
      <c r="C252" s="26" t="str">
        <f aca="false">"0868337"</f>
        <v>0868337</v>
      </c>
      <c r="D252" s="27" t="s">
        <v>179</v>
      </c>
      <c r="E252" s="26" t="n">
        <v>1983</v>
      </c>
      <c r="F252" s="28" t="n">
        <v>750.6</v>
      </c>
      <c r="G252" s="29" t="n">
        <v>1</v>
      </c>
      <c r="H252" s="30" t="n">
        <v>30</v>
      </c>
    </row>
    <row r="253" s="31" customFormat="true" ht="13.8" hidden="false" customHeight="false" outlineLevel="0" collapsed="false">
      <c r="A253" s="25" t="n">
        <v>483</v>
      </c>
      <c r="B253" s="26" t="s">
        <v>150</v>
      </c>
      <c r="C253" s="26" t="str">
        <f aca="false">"0868353"</f>
        <v>0868353</v>
      </c>
      <c r="D253" s="27" t="s">
        <v>180</v>
      </c>
      <c r="E253" s="26" t="n">
        <v>1983</v>
      </c>
      <c r="F253" s="28" t="n">
        <v>554.23</v>
      </c>
      <c r="G253" s="29" t="n">
        <v>1</v>
      </c>
      <c r="H253" s="30" t="n">
        <v>20</v>
      </c>
    </row>
    <row r="254" s="31" customFormat="true" ht="13.8" hidden="false" customHeight="false" outlineLevel="0" collapsed="false">
      <c r="A254" s="25" t="n">
        <v>486</v>
      </c>
      <c r="B254" s="26" t="s">
        <v>150</v>
      </c>
      <c r="C254" s="26" t="str">
        <f aca="false">"0868388"</f>
        <v>0868388</v>
      </c>
      <c r="D254" s="27" t="s">
        <v>88</v>
      </c>
      <c r="E254" s="26" t="n">
        <v>1983</v>
      </c>
      <c r="F254" s="28" t="n">
        <v>1962.97</v>
      </c>
      <c r="G254" s="29" t="n">
        <v>1</v>
      </c>
      <c r="H254" s="30" t="n">
        <v>70</v>
      </c>
    </row>
    <row r="255" s="31" customFormat="true" ht="13.8" hidden="false" customHeight="false" outlineLevel="0" collapsed="false">
      <c r="A255" s="25" t="n">
        <v>487</v>
      </c>
      <c r="B255" s="26" t="s">
        <v>150</v>
      </c>
      <c r="C255" s="26" t="str">
        <f aca="false">"0868396"</f>
        <v>0868396</v>
      </c>
      <c r="D255" s="27" t="s">
        <v>151</v>
      </c>
      <c r="E255" s="26" t="n">
        <v>1983</v>
      </c>
      <c r="F255" s="28" t="n">
        <v>288.56</v>
      </c>
      <c r="G255" s="29" t="n">
        <v>1</v>
      </c>
      <c r="H255" s="30" t="n">
        <v>15</v>
      </c>
    </row>
    <row r="256" s="31" customFormat="true" ht="13.8" hidden="false" customHeight="false" outlineLevel="0" collapsed="false">
      <c r="A256" s="25" t="n">
        <v>488</v>
      </c>
      <c r="B256" s="26" t="s">
        <v>150</v>
      </c>
      <c r="C256" s="26" t="str">
        <f aca="false">"0868400"</f>
        <v>0868400</v>
      </c>
      <c r="D256" s="27" t="s">
        <v>151</v>
      </c>
      <c r="E256" s="26" t="n">
        <v>1983</v>
      </c>
      <c r="F256" s="28" t="n">
        <v>144.28</v>
      </c>
      <c r="G256" s="29" t="n">
        <v>1</v>
      </c>
      <c r="H256" s="30" t="n">
        <v>5</v>
      </c>
    </row>
    <row r="257" s="31" customFormat="true" ht="13.8" hidden="false" customHeight="false" outlineLevel="0" collapsed="false">
      <c r="A257" s="25" t="n">
        <v>489</v>
      </c>
      <c r="B257" s="26" t="s">
        <v>150</v>
      </c>
      <c r="C257" s="26" t="str">
        <f aca="false">"0868418"</f>
        <v>0868418</v>
      </c>
      <c r="D257" s="27" t="s">
        <v>151</v>
      </c>
      <c r="E257" s="26" t="n">
        <v>1983</v>
      </c>
      <c r="F257" s="28" t="n">
        <v>288.56</v>
      </c>
      <c r="G257" s="29" t="n">
        <v>1</v>
      </c>
      <c r="H257" s="30" t="n">
        <v>15</v>
      </c>
    </row>
    <row r="258" s="31" customFormat="true" ht="13.8" hidden="false" customHeight="false" outlineLevel="0" collapsed="false">
      <c r="A258" s="25" t="n">
        <v>490</v>
      </c>
      <c r="B258" s="26" t="s">
        <v>150</v>
      </c>
      <c r="C258" s="26" t="str">
        <f aca="false">"0868426"</f>
        <v>0868426</v>
      </c>
      <c r="D258" s="27" t="s">
        <v>181</v>
      </c>
      <c r="E258" s="26" t="n">
        <v>1983</v>
      </c>
      <c r="F258" s="28" t="n">
        <v>3579.54</v>
      </c>
      <c r="G258" s="29" t="n">
        <v>1</v>
      </c>
      <c r="H258" s="30" t="n">
        <v>160</v>
      </c>
    </row>
    <row r="259" s="31" customFormat="true" ht="13.8" hidden="false" customHeight="false" outlineLevel="0" collapsed="false">
      <c r="A259" s="32" t="n">
        <v>492</v>
      </c>
      <c r="B259" s="26" t="s">
        <v>150</v>
      </c>
      <c r="C259" s="26" t="str">
        <f aca="false">"0868442"</f>
        <v>0868442</v>
      </c>
      <c r="D259" s="27" t="s">
        <v>182</v>
      </c>
      <c r="E259" s="26" t="n">
        <v>1983</v>
      </c>
      <c r="F259" s="28" t="n">
        <v>969.89</v>
      </c>
      <c r="G259" s="29" t="n">
        <v>1</v>
      </c>
      <c r="H259" s="30" t="n">
        <v>40</v>
      </c>
    </row>
    <row r="260" s="31" customFormat="true" ht="13.8" hidden="false" customHeight="false" outlineLevel="0" collapsed="false">
      <c r="A260" s="33" t="n">
        <v>494</v>
      </c>
      <c r="B260" s="26" t="s">
        <v>150</v>
      </c>
      <c r="C260" s="26" t="str">
        <f aca="false">"0857793"</f>
        <v>0857793</v>
      </c>
      <c r="D260" s="27" t="s">
        <v>183</v>
      </c>
      <c r="E260" s="26" t="n">
        <v>1990</v>
      </c>
      <c r="F260" s="28" t="n">
        <v>1420.75</v>
      </c>
      <c r="G260" s="29" t="n">
        <v>4</v>
      </c>
      <c r="H260" s="30" t="n">
        <v>280</v>
      </c>
    </row>
    <row r="261" s="31" customFormat="true" ht="13.8" hidden="false" customHeight="false" outlineLevel="0" collapsed="false">
      <c r="A261" s="25" t="n">
        <v>495</v>
      </c>
      <c r="B261" s="26" t="s">
        <v>150</v>
      </c>
      <c r="C261" s="26" t="str">
        <f aca="false">"0858013"</f>
        <v>0858013</v>
      </c>
      <c r="D261" s="27" t="s">
        <v>184</v>
      </c>
      <c r="E261" s="26" t="n">
        <v>2000</v>
      </c>
      <c r="F261" s="28" t="n">
        <v>8376.65</v>
      </c>
      <c r="G261" s="29" t="n">
        <v>1</v>
      </c>
      <c r="H261" s="30" t="n">
        <v>520</v>
      </c>
    </row>
    <row r="262" s="31" customFormat="true" ht="13.8" hidden="false" customHeight="false" outlineLevel="0" collapsed="false">
      <c r="A262" s="25" t="n">
        <v>498</v>
      </c>
      <c r="B262" s="26" t="s">
        <v>150</v>
      </c>
      <c r="C262" s="26" t="str">
        <f aca="false">"0858064"</f>
        <v>0858064</v>
      </c>
      <c r="D262" s="27" t="s">
        <v>185</v>
      </c>
      <c r="E262" s="26" t="n">
        <v>2000</v>
      </c>
      <c r="F262" s="28" t="n">
        <v>34812.75</v>
      </c>
      <c r="G262" s="29" t="n">
        <v>3</v>
      </c>
      <c r="H262" s="30" t="n">
        <v>6600</v>
      </c>
    </row>
    <row r="263" s="31" customFormat="true" ht="13.8" hidden="false" customHeight="false" outlineLevel="0" collapsed="false">
      <c r="A263" s="25" t="n">
        <v>499</v>
      </c>
      <c r="B263" s="26" t="s">
        <v>150</v>
      </c>
      <c r="C263" s="26" t="str">
        <f aca="false">"0858099"</f>
        <v>0858099</v>
      </c>
      <c r="D263" s="27" t="s">
        <v>186</v>
      </c>
      <c r="E263" s="26" t="n">
        <v>2000</v>
      </c>
      <c r="F263" s="28" t="n">
        <v>14055.25</v>
      </c>
      <c r="G263" s="29" t="n">
        <v>3</v>
      </c>
      <c r="H263" s="30" t="n">
        <v>2550</v>
      </c>
    </row>
    <row r="264" s="31" customFormat="true" ht="13.8" hidden="false" customHeight="false" outlineLevel="0" collapsed="false">
      <c r="A264" s="25" t="n">
        <v>500</v>
      </c>
      <c r="B264" s="26" t="s">
        <v>150</v>
      </c>
      <c r="C264" s="26" t="str">
        <f aca="false">"0858129"</f>
        <v>0858129</v>
      </c>
      <c r="D264" s="27" t="s">
        <v>187</v>
      </c>
      <c r="E264" s="26" t="n">
        <v>2000</v>
      </c>
      <c r="F264" s="28" t="n">
        <v>31670.5</v>
      </c>
      <c r="G264" s="29" t="n">
        <v>7</v>
      </c>
      <c r="H264" s="30" t="n">
        <v>13650</v>
      </c>
    </row>
    <row r="265" s="31" customFormat="true" ht="13.8" hidden="false" customHeight="false" outlineLevel="0" collapsed="false">
      <c r="A265" s="32" t="n">
        <v>501</v>
      </c>
      <c r="B265" s="26" t="s">
        <v>150</v>
      </c>
      <c r="C265" s="26" t="str">
        <f aca="false">"0858196"</f>
        <v>0858196</v>
      </c>
      <c r="D265" s="27" t="s">
        <v>188</v>
      </c>
      <c r="E265" s="26" t="n">
        <v>2000</v>
      </c>
      <c r="F265" s="28" t="n">
        <v>10636.05</v>
      </c>
      <c r="G265" s="29" t="n">
        <v>5</v>
      </c>
      <c r="H265" s="30" t="n">
        <v>3250</v>
      </c>
    </row>
    <row r="266" s="31" customFormat="true" ht="13.8" hidden="false" customHeight="false" outlineLevel="0" collapsed="false">
      <c r="A266" s="25" t="n">
        <v>506</v>
      </c>
      <c r="B266" s="26" t="s">
        <v>150</v>
      </c>
      <c r="C266" s="26" t="str">
        <f aca="false">"0858447"</f>
        <v>0858447</v>
      </c>
      <c r="D266" s="27" t="s">
        <v>189</v>
      </c>
      <c r="E266" s="26" t="n">
        <v>2000</v>
      </c>
      <c r="F266" s="28" t="n">
        <v>3583.14</v>
      </c>
      <c r="G266" s="29" t="n">
        <v>16</v>
      </c>
      <c r="H266" s="30" t="n">
        <v>4000</v>
      </c>
    </row>
    <row r="267" s="31" customFormat="true" ht="13.8" hidden="false" customHeight="false" outlineLevel="0" collapsed="false">
      <c r="A267" s="25" t="n">
        <v>507</v>
      </c>
      <c r="B267" s="26" t="s">
        <v>150</v>
      </c>
      <c r="C267" s="26" t="str">
        <f aca="false">"0869678"</f>
        <v>0869678</v>
      </c>
      <c r="D267" s="27" t="s">
        <v>190</v>
      </c>
      <c r="E267" s="26" t="n">
        <v>1984</v>
      </c>
      <c r="F267" s="28" t="n">
        <v>1463.12</v>
      </c>
      <c r="G267" s="29" t="n">
        <v>1</v>
      </c>
      <c r="H267" s="30" t="n">
        <v>60</v>
      </c>
    </row>
    <row r="268" s="31" customFormat="true" ht="13.8" hidden="false" customHeight="false" outlineLevel="0" collapsed="false">
      <c r="A268" s="25" t="n">
        <v>508</v>
      </c>
      <c r="B268" s="26" t="s">
        <v>150</v>
      </c>
      <c r="C268" s="26" t="str">
        <f aca="false">"0869686"</f>
        <v>0869686</v>
      </c>
      <c r="D268" s="27" t="s">
        <v>191</v>
      </c>
      <c r="E268" s="26" t="n">
        <v>1984</v>
      </c>
      <c r="F268" s="28" t="n">
        <v>2198.68</v>
      </c>
      <c r="G268" s="29" t="n">
        <v>1</v>
      </c>
      <c r="H268" s="30" t="n">
        <v>100</v>
      </c>
    </row>
    <row r="269" s="31" customFormat="true" ht="13.8" hidden="false" customHeight="false" outlineLevel="0" collapsed="false">
      <c r="A269" s="25" t="n">
        <v>509</v>
      </c>
      <c r="B269" s="26" t="s">
        <v>150</v>
      </c>
      <c r="C269" s="26" t="str">
        <f aca="false">"0869694"</f>
        <v>0869694</v>
      </c>
      <c r="D269" s="27" t="s">
        <v>192</v>
      </c>
      <c r="E269" s="26" t="n">
        <v>1984</v>
      </c>
      <c r="F269" s="28" t="n">
        <v>589.14</v>
      </c>
      <c r="G269" s="29" t="n">
        <v>1</v>
      </c>
      <c r="H269" s="30" t="n">
        <v>20</v>
      </c>
    </row>
    <row r="270" s="31" customFormat="true" ht="13.8" hidden="false" customHeight="false" outlineLevel="0" collapsed="false">
      <c r="A270" s="25" t="n">
        <v>510</v>
      </c>
      <c r="B270" s="26" t="s">
        <v>150</v>
      </c>
      <c r="C270" s="26" t="str">
        <f aca="false">"0869708"</f>
        <v>0869708</v>
      </c>
      <c r="D270" s="27" t="s">
        <v>193</v>
      </c>
      <c r="E270" s="26" t="n">
        <v>1984</v>
      </c>
      <c r="F270" s="28" t="n">
        <v>3756.74</v>
      </c>
      <c r="G270" s="29" t="n">
        <v>1</v>
      </c>
      <c r="H270" s="30" t="n">
        <v>170</v>
      </c>
    </row>
    <row r="271" s="31" customFormat="true" ht="13.8" hidden="false" customHeight="false" outlineLevel="0" collapsed="false">
      <c r="A271" s="25" t="n">
        <v>511</v>
      </c>
      <c r="B271" s="26" t="s">
        <v>150</v>
      </c>
      <c r="C271" s="26" t="str">
        <f aca="false">"0858773"</f>
        <v>0858773</v>
      </c>
      <c r="D271" s="27" t="s">
        <v>194</v>
      </c>
      <c r="E271" s="26" t="n">
        <v>2002</v>
      </c>
      <c r="F271" s="28" t="n">
        <v>229020</v>
      </c>
      <c r="G271" s="29" t="n">
        <v>1</v>
      </c>
      <c r="H271" s="30" t="n">
        <v>14250</v>
      </c>
    </row>
    <row r="272" s="31" customFormat="true" ht="13.8" hidden="false" customHeight="false" outlineLevel="0" collapsed="false">
      <c r="A272" s="32" t="n">
        <v>514</v>
      </c>
      <c r="B272" s="26" t="s">
        <v>150</v>
      </c>
      <c r="C272" s="26" t="str">
        <f aca="false">"0859117"</f>
        <v>0859117</v>
      </c>
      <c r="D272" s="27" t="s">
        <v>195</v>
      </c>
      <c r="E272" s="26" t="n">
        <v>2004</v>
      </c>
      <c r="F272" s="28" t="n">
        <v>33860</v>
      </c>
      <c r="G272" s="29" t="n">
        <v>2</v>
      </c>
      <c r="H272" s="30" t="n">
        <v>4400</v>
      </c>
    </row>
    <row r="273" s="31" customFormat="true" ht="13.8" hidden="false" customHeight="false" outlineLevel="0" collapsed="false">
      <c r="A273" s="33" t="n">
        <v>517</v>
      </c>
      <c r="B273" s="26" t="s">
        <v>150</v>
      </c>
      <c r="C273" s="26" t="str">
        <f aca="false">"0870560"</f>
        <v>0870560</v>
      </c>
      <c r="D273" s="27" t="s">
        <v>191</v>
      </c>
      <c r="E273" s="26" t="n">
        <v>1984</v>
      </c>
      <c r="F273" s="28" t="n">
        <v>147.8</v>
      </c>
      <c r="G273" s="29" t="n">
        <v>1</v>
      </c>
      <c r="H273" s="30" t="n">
        <v>10</v>
      </c>
    </row>
    <row r="274" s="31" customFormat="true" ht="13.8" hidden="false" customHeight="false" outlineLevel="0" collapsed="false">
      <c r="A274" s="25" t="n">
        <v>518</v>
      </c>
      <c r="B274" s="26" t="s">
        <v>150</v>
      </c>
      <c r="C274" s="26" t="str">
        <f aca="false">"0870579"</f>
        <v>0870579</v>
      </c>
      <c r="D274" s="27" t="s">
        <v>191</v>
      </c>
      <c r="E274" s="26" t="n">
        <v>1984</v>
      </c>
      <c r="F274" s="28" t="n">
        <v>395.38</v>
      </c>
      <c r="G274" s="29" t="n">
        <v>3</v>
      </c>
      <c r="H274" s="30" t="n">
        <v>60</v>
      </c>
    </row>
    <row r="275" s="31" customFormat="true" ht="13.8" hidden="false" customHeight="false" outlineLevel="0" collapsed="false">
      <c r="A275" s="25" t="n">
        <v>519</v>
      </c>
      <c r="B275" s="26" t="s">
        <v>150</v>
      </c>
      <c r="C275" s="26" t="str">
        <f aca="false">"0870595"</f>
        <v>0870595</v>
      </c>
      <c r="D275" s="27" t="s">
        <v>196</v>
      </c>
      <c r="E275" s="26" t="n">
        <v>1984</v>
      </c>
      <c r="F275" s="28" t="n">
        <v>147.8</v>
      </c>
      <c r="G275" s="29" t="n">
        <v>1</v>
      </c>
      <c r="H275" s="30" t="n">
        <v>5</v>
      </c>
    </row>
    <row r="276" s="31" customFormat="true" ht="13.8" hidden="false" customHeight="false" outlineLevel="0" collapsed="false">
      <c r="A276" s="25" t="n">
        <v>521</v>
      </c>
      <c r="B276" s="26" t="s">
        <v>150</v>
      </c>
      <c r="C276" s="26" t="str">
        <f aca="false">"0859478"</f>
        <v>0859478</v>
      </c>
      <c r="D276" s="27" t="s">
        <v>197</v>
      </c>
      <c r="E276" s="26" t="n">
        <v>2006</v>
      </c>
      <c r="F276" s="28" t="n">
        <v>3400</v>
      </c>
      <c r="G276" s="29" t="n">
        <v>2</v>
      </c>
      <c r="H276" s="30" t="n">
        <v>500</v>
      </c>
    </row>
    <row r="277" s="31" customFormat="true" ht="13.8" hidden="false" customHeight="false" outlineLevel="0" collapsed="false">
      <c r="A277" s="25" t="n">
        <v>522</v>
      </c>
      <c r="B277" s="26" t="s">
        <v>150</v>
      </c>
      <c r="C277" s="26" t="str">
        <f aca="false">"0859494"</f>
        <v>0859494</v>
      </c>
      <c r="D277" s="27" t="s">
        <v>198</v>
      </c>
      <c r="E277" s="26" t="n">
        <v>2006</v>
      </c>
      <c r="F277" s="28" t="n">
        <v>3600</v>
      </c>
      <c r="G277" s="29" t="n">
        <v>3</v>
      </c>
      <c r="H277" s="30" t="n">
        <v>750</v>
      </c>
    </row>
    <row r="278" s="31" customFormat="true" ht="13.8" hidden="false" customHeight="false" outlineLevel="0" collapsed="false">
      <c r="A278" s="25" t="n">
        <v>523</v>
      </c>
      <c r="B278" s="26" t="s">
        <v>150</v>
      </c>
      <c r="C278" s="26" t="str">
        <f aca="false">"0859796"</f>
        <v>0859796</v>
      </c>
      <c r="D278" s="27" t="s">
        <v>199</v>
      </c>
      <c r="E278" s="26" t="n">
        <v>2008</v>
      </c>
      <c r="F278" s="28" t="n">
        <v>11380.77</v>
      </c>
      <c r="G278" s="29" t="n">
        <v>2</v>
      </c>
      <c r="H278" s="30" t="n">
        <v>2400</v>
      </c>
    </row>
    <row r="279" s="31" customFormat="true" ht="13.8" hidden="false" customHeight="false" outlineLevel="0" collapsed="false">
      <c r="A279" s="25" t="n">
        <v>524</v>
      </c>
      <c r="B279" s="26" t="s">
        <v>150</v>
      </c>
      <c r="C279" s="26" t="str">
        <f aca="false">"0859818"</f>
        <v>0859818</v>
      </c>
      <c r="D279" s="27" t="s">
        <v>200</v>
      </c>
      <c r="E279" s="26" t="n">
        <v>2008</v>
      </c>
      <c r="F279" s="28" t="n">
        <v>18830</v>
      </c>
      <c r="G279" s="29" t="n">
        <v>1</v>
      </c>
      <c r="H279" s="30" t="n">
        <v>1950</v>
      </c>
    </row>
    <row r="280" s="31" customFormat="true" ht="13.8" hidden="false" customHeight="false" outlineLevel="0" collapsed="false">
      <c r="A280" s="25" t="n">
        <v>525</v>
      </c>
      <c r="B280" s="26" t="s">
        <v>150</v>
      </c>
      <c r="C280" s="26" t="str">
        <f aca="false">"0859834"</f>
        <v>0859834</v>
      </c>
      <c r="D280" s="27" t="s">
        <v>201</v>
      </c>
      <c r="E280" s="26" t="n">
        <v>2008</v>
      </c>
      <c r="F280" s="28" t="n">
        <v>9500</v>
      </c>
      <c r="G280" s="29" t="n">
        <v>2</v>
      </c>
      <c r="H280" s="30" t="n">
        <v>2000</v>
      </c>
    </row>
    <row r="281" s="31" customFormat="true" ht="13.8" hidden="false" customHeight="false" outlineLevel="0" collapsed="false">
      <c r="A281" s="25" t="n">
        <v>526</v>
      </c>
      <c r="B281" s="26" t="s">
        <v>150</v>
      </c>
      <c r="C281" s="26" t="str">
        <f aca="false">"0859869"</f>
        <v>0859869</v>
      </c>
      <c r="D281" s="27" t="s">
        <v>202</v>
      </c>
      <c r="E281" s="26" t="n">
        <v>2008</v>
      </c>
      <c r="F281" s="28" t="n">
        <v>18830</v>
      </c>
      <c r="G281" s="29" t="n">
        <v>2</v>
      </c>
      <c r="H281" s="30" t="n">
        <v>4000</v>
      </c>
    </row>
    <row r="282" s="31" customFormat="true" ht="13.8" hidden="false" customHeight="false" outlineLevel="0" collapsed="false">
      <c r="A282" s="25" t="n">
        <v>528</v>
      </c>
      <c r="B282" s="26" t="s">
        <v>150</v>
      </c>
      <c r="C282" s="26" t="str">
        <f aca="false">"0859966"</f>
        <v>0859966</v>
      </c>
      <c r="D282" s="27" t="s">
        <v>203</v>
      </c>
      <c r="E282" s="26" t="n">
        <v>2008</v>
      </c>
      <c r="F282" s="28" t="n">
        <v>3700</v>
      </c>
      <c r="G282" s="29" t="n">
        <v>3</v>
      </c>
      <c r="H282" s="30" t="n">
        <v>7320</v>
      </c>
    </row>
    <row r="283" s="31" customFormat="true" ht="13.8" hidden="false" customHeight="false" outlineLevel="0" collapsed="false">
      <c r="A283" s="25" t="n">
        <v>529</v>
      </c>
      <c r="B283" s="26" t="s">
        <v>150</v>
      </c>
      <c r="C283" s="26" t="str">
        <f aca="false">"0860085"</f>
        <v>0860085</v>
      </c>
      <c r="D283" s="27" t="s">
        <v>204</v>
      </c>
      <c r="E283" s="26" t="n">
        <v>2009</v>
      </c>
      <c r="F283" s="28" t="n">
        <v>27740</v>
      </c>
      <c r="G283" s="29" t="n">
        <v>1</v>
      </c>
      <c r="H283" s="30" t="n">
        <v>3120</v>
      </c>
    </row>
    <row r="284" s="31" customFormat="true" ht="13.8" hidden="false" customHeight="false" outlineLevel="0" collapsed="false">
      <c r="A284" s="25" t="n">
        <v>530</v>
      </c>
      <c r="B284" s="26" t="s">
        <v>150</v>
      </c>
      <c r="C284" s="26" t="str">
        <f aca="false">"0860093"</f>
        <v>0860093</v>
      </c>
      <c r="D284" s="27" t="s">
        <v>205</v>
      </c>
      <c r="E284" s="26" t="n">
        <v>2009</v>
      </c>
      <c r="F284" s="28" t="n">
        <v>11580</v>
      </c>
      <c r="G284" s="29" t="n">
        <v>1</v>
      </c>
      <c r="H284" s="30" t="n">
        <v>1300</v>
      </c>
    </row>
    <row r="285" s="31" customFormat="true" ht="13.8" hidden="false" customHeight="false" outlineLevel="0" collapsed="false">
      <c r="A285" s="25" t="n">
        <v>531</v>
      </c>
      <c r="B285" s="26" t="s">
        <v>150</v>
      </c>
      <c r="C285" s="26" t="str">
        <f aca="false">"0871702"</f>
        <v>0871702</v>
      </c>
      <c r="D285" s="27" t="s">
        <v>206</v>
      </c>
      <c r="E285" s="26" t="n">
        <v>1986</v>
      </c>
      <c r="F285" s="28" t="n">
        <v>732.25</v>
      </c>
      <c r="G285" s="29" t="n">
        <v>1</v>
      </c>
      <c r="H285" s="30" t="n">
        <v>30</v>
      </c>
    </row>
    <row r="286" s="31" customFormat="true" ht="13.8" hidden="false" customHeight="false" outlineLevel="0" collapsed="false">
      <c r="A286" s="25" t="n">
        <v>532</v>
      </c>
      <c r="B286" s="26" t="s">
        <v>150</v>
      </c>
      <c r="C286" s="26" t="str">
        <f aca="false">"0860239"</f>
        <v>0860239</v>
      </c>
      <c r="D286" s="27" t="s">
        <v>207</v>
      </c>
      <c r="E286" s="26" t="n">
        <v>2009</v>
      </c>
      <c r="F286" s="28" t="n">
        <v>6600</v>
      </c>
      <c r="G286" s="29" t="n">
        <v>1</v>
      </c>
      <c r="H286" s="30" t="n">
        <v>920</v>
      </c>
    </row>
    <row r="287" s="31" customFormat="true" ht="13.8" hidden="false" customHeight="false" outlineLevel="0" collapsed="false">
      <c r="A287" s="25" t="n">
        <v>533</v>
      </c>
      <c r="B287" s="26" t="s">
        <v>150</v>
      </c>
      <c r="C287" s="26" t="str">
        <f aca="false">"0860255"</f>
        <v>0860255</v>
      </c>
      <c r="D287" s="27" t="s">
        <v>208</v>
      </c>
      <c r="E287" s="26" t="n">
        <v>2009</v>
      </c>
      <c r="F287" s="28" t="n">
        <v>7500</v>
      </c>
      <c r="G287" s="29" t="n">
        <v>2</v>
      </c>
      <c r="H287" s="30" t="n">
        <v>2100</v>
      </c>
    </row>
    <row r="288" s="31" customFormat="true" ht="13.8" hidden="false" customHeight="false" outlineLevel="0" collapsed="false">
      <c r="A288" s="25" t="n">
        <v>535</v>
      </c>
      <c r="B288" s="26" t="s">
        <v>150</v>
      </c>
      <c r="C288" s="26" t="str">
        <f aca="false">"0860336"</f>
        <v>0860336</v>
      </c>
      <c r="D288" s="27" t="s">
        <v>209</v>
      </c>
      <c r="E288" s="26" t="n">
        <v>2009</v>
      </c>
      <c r="F288" s="28" t="n">
        <v>4875.26</v>
      </c>
      <c r="G288" s="29" t="n">
        <v>1</v>
      </c>
      <c r="H288" s="30" t="n">
        <v>550</v>
      </c>
    </row>
    <row r="289" s="31" customFormat="true" ht="13.8" hidden="false" customHeight="false" outlineLevel="0" collapsed="false">
      <c r="A289" s="25" t="n">
        <v>536</v>
      </c>
      <c r="B289" s="26" t="s">
        <v>150</v>
      </c>
      <c r="C289" s="26" t="str">
        <f aca="false">"0860344"</f>
        <v>0860344</v>
      </c>
      <c r="D289" s="27" t="s">
        <v>210</v>
      </c>
      <c r="E289" s="26" t="n">
        <v>2009</v>
      </c>
      <c r="F289" s="28" t="n">
        <v>5475.26</v>
      </c>
      <c r="G289" s="29" t="n">
        <v>1</v>
      </c>
      <c r="H289" s="30" t="n">
        <v>620</v>
      </c>
    </row>
    <row r="290" s="31" customFormat="true" ht="13.8" hidden="false" customHeight="false" outlineLevel="0" collapsed="false">
      <c r="A290" s="32" t="n">
        <v>537</v>
      </c>
      <c r="B290" s="26" t="s">
        <v>150</v>
      </c>
      <c r="C290" s="26" t="str">
        <f aca="false">"0860395"</f>
        <v>0860395</v>
      </c>
      <c r="D290" s="27" t="s">
        <v>211</v>
      </c>
      <c r="E290" s="26" t="n">
        <v>2010</v>
      </c>
      <c r="F290" s="28" t="n">
        <v>2500</v>
      </c>
      <c r="G290" s="29" t="n">
        <v>1</v>
      </c>
      <c r="H290" s="30" t="n">
        <v>270</v>
      </c>
    </row>
    <row r="291" s="31" customFormat="true" ht="13.8" hidden="false" customHeight="false" outlineLevel="0" collapsed="false">
      <c r="A291" s="38" t="n">
        <v>542</v>
      </c>
      <c r="B291" s="26" t="s">
        <v>150</v>
      </c>
      <c r="C291" s="26" t="str">
        <f aca="false">"0860530"</f>
        <v>0860530</v>
      </c>
      <c r="D291" s="27" t="s">
        <v>212</v>
      </c>
      <c r="E291" s="26" t="n">
        <v>1954</v>
      </c>
      <c r="F291" s="28" t="n">
        <f aca="false">197672.9*1.4</f>
        <v>276742.06</v>
      </c>
      <c r="G291" s="29" t="n">
        <v>1</v>
      </c>
      <c r="H291" s="30" t="n">
        <v>5800</v>
      </c>
    </row>
    <row r="292" s="31" customFormat="true" ht="13.8" hidden="false" customHeight="false" outlineLevel="0" collapsed="false">
      <c r="A292" s="25" t="n">
        <v>547</v>
      </c>
      <c r="B292" s="26" t="s">
        <v>150</v>
      </c>
      <c r="C292" s="26" t="str">
        <f aca="false">"0872024"</f>
        <v>0872024</v>
      </c>
      <c r="D292" s="27" t="s">
        <v>213</v>
      </c>
      <c r="E292" s="26" t="n">
        <v>1987</v>
      </c>
      <c r="F292" s="28" t="n">
        <v>283.73</v>
      </c>
      <c r="G292" s="29" t="n">
        <v>1</v>
      </c>
      <c r="H292" s="30" t="n">
        <v>20</v>
      </c>
    </row>
    <row r="293" s="31" customFormat="true" ht="13.8" hidden="false" customHeight="false" outlineLevel="0" collapsed="false">
      <c r="A293" s="25" t="n">
        <v>548</v>
      </c>
      <c r="B293" s="26" t="s">
        <v>150</v>
      </c>
      <c r="C293" s="26" t="str">
        <f aca="false">"0860930"</f>
        <v>0860930</v>
      </c>
      <c r="D293" s="27" t="s">
        <v>214</v>
      </c>
      <c r="E293" s="26" t="n">
        <v>1986</v>
      </c>
      <c r="F293" s="28" t="n">
        <v>12463.52</v>
      </c>
      <c r="G293" s="29" t="n">
        <v>3</v>
      </c>
      <c r="H293" s="30" t="n">
        <v>1860</v>
      </c>
    </row>
    <row r="294" s="31" customFormat="true" ht="13.8" hidden="false" customHeight="false" outlineLevel="0" collapsed="false">
      <c r="A294" s="25" t="n">
        <v>554</v>
      </c>
      <c r="B294" s="26" t="s">
        <v>150</v>
      </c>
      <c r="C294" s="26" t="str">
        <f aca="false">"0876186"</f>
        <v>0876186</v>
      </c>
      <c r="D294" s="27" t="s">
        <v>215</v>
      </c>
      <c r="E294" s="26" t="n">
        <v>1957</v>
      </c>
      <c r="F294" s="28" t="n">
        <v>372.48</v>
      </c>
      <c r="G294" s="29" t="n">
        <v>1</v>
      </c>
      <c r="H294" s="30" t="n">
        <v>5</v>
      </c>
    </row>
    <row r="295" s="31" customFormat="true" ht="13.8" hidden="false" customHeight="false" outlineLevel="0" collapsed="false">
      <c r="A295" s="38" t="n">
        <v>555</v>
      </c>
      <c r="B295" s="26" t="s">
        <v>150</v>
      </c>
      <c r="C295" s="26" t="str">
        <f aca="false">"0876321"</f>
        <v>0876321</v>
      </c>
      <c r="D295" s="27" t="s">
        <v>216</v>
      </c>
      <c r="E295" s="26" t="n">
        <v>1946</v>
      </c>
      <c r="F295" s="28" t="n">
        <v>25.53</v>
      </c>
      <c r="G295" s="29" t="n">
        <v>1</v>
      </c>
      <c r="H295" s="39" t="s">
        <v>217</v>
      </c>
    </row>
    <row r="296" s="31" customFormat="true" ht="13.8" hidden="false" customHeight="false" outlineLevel="0" collapsed="false">
      <c r="A296" s="25" t="n">
        <v>556</v>
      </c>
      <c r="B296" s="26" t="s">
        <v>150</v>
      </c>
      <c r="C296" s="26" t="str">
        <f aca="false">"0876437"</f>
        <v>0876437</v>
      </c>
      <c r="D296" s="27" t="s">
        <v>88</v>
      </c>
      <c r="E296" s="26" t="n">
        <v>1960</v>
      </c>
      <c r="F296" s="28" t="n">
        <v>259.03</v>
      </c>
      <c r="G296" s="29" t="n">
        <v>1</v>
      </c>
      <c r="H296" s="30" t="n">
        <v>5</v>
      </c>
    </row>
    <row r="297" s="31" customFormat="true" ht="13.8" hidden="false" customHeight="false" outlineLevel="0" collapsed="false">
      <c r="A297" s="25" t="n">
        <v>557</v>
      </c>
      <c r="B297" s="26" t="s">
        <v>150</v>
      </c>
      <c r="C297" s="26" t="str">
        <f aca="false">"0876801"</f>
        <v>0876801</v>
      </c>
      <c r="D297" s="27" t="s">
        <v>34</v>
      </c>
      <c r="E297" s="26" t="n">
        <v>1968</v>
      </c>
      <c r="F297" s="28" t="n">
        <v>465.21</v>
      </c>
      <c r="G297" s="29" t="n">
        <v>1</v>
      </c>
      <c r="H297" s="30" t="n">
        <v>10</v>
      </c>
    </row>
    <row r="298" s="31" customFormat="true" ht="13.8" hidden="false" customHeight="false" outlineLevel="0" collapsed="false">
      <c r="A298" s="25" t="n">
        <v>559</v>
      </c>
      <c r="B298" s="26" t="s">
        <v>150</v>
      </c>
      <c r="C298" s="26" t="str">
        <f aca="false">"0874426"</f>
        <v>0874426</v>
      </c>
      <c r="D298" s="27" t="s">
        <v>218</v>
      </c>
      <c r="E298" s="26" t="n">
        <v>1983</v>
      </c>
      <c r="F298" s="28" t="n">
        <v>230.94</v>
      </c>
      <c r="G298" s="29" t="n">
        <v>1</v>
      </c>
      <c r="H298" s="30" t="n">
        <v>10</v>
      </c>
    </row>
    <row r="299" s="31" customFormat="true" ht="13.8" hidden="false" customHeight="false" outlineLevel="0" collapsed="false">
      <c r="A299" s="25" t="n">
        <v>560</v>
      </c>
      <c r="B299" s="26" t="s">
        <v>150</v>
      </c>
      <c r="C299" s="26" t="str">
        <f aca="false">"0874434"</f>
        <v>0874434</v>
      </c>
      <c r="D299" s="27" t="s">
        <v>178</v>
      </c>
      <c r="E299" s="26" t="n">
        <v>1983</v>
      </c>
      <c r="F299" s="28" t="n">
        <v>375.3</v>
      </c>
      <c r="G299" s="29" t="n">
        <v>1</v>
      </c>
      <c r="H299" s="30" t="n">
        <v>15</v>
      </c>
    </row>
    <row r="300" s="31" customFormat="true" ht="13.8" hidden="false" customHeight="false" outlineLevel="0" collapsed="false">
      <c r="A300" s="32" t="n">
        <v>562</v>
      </c>
      <c r="B300" s="26" t="s">
        <v>150</v>
      </c>
      <c r="C300" s="26" t="str">
        <f aca="false">"0874450"</f>
        <v>0874450</v>
      </c>
      <c r="D300" s="27" t="s">
        <v>215</v>
      </c>
      <c r="E300" s="26" t="n">
        <v>1983</v>
      </c>
      <c r="F300" s="28" t="n">
        <v>144.28</v>
      </c>
      <c r="G300" s="29" t="n">
        <v>1</v>
      </c>
      <c r="H300" s="30" t="n">
        <v>5</v>
      </c>
    </row>
    <row r="301" s="31" customFormat="true" ht="13.8" hidden="false" customHeight="false" outlineLevel="0" collapsed="false">
      <c r="A301" s="33" t="n">
        <v>584</v>
      </c>
      <c r="B301" s="26" t="s">
        <v>219</v>
      </c>
      <c r="C301" s="26" t="str">
        <f aca="false">"0861707"</f>
        <v>0861707</v>
      </c>
      <c r="D301" s="27" t="s">
        <v>220</v>
      </c>
      <c r="E301" s="26" t="n">
        <v>1977</v>
      </c>
      <c r="F301" s="28" t="n">
        <v>20371.69</v>
      </c>
      <c r="G301" s="29" t="n">
        <v>2</v>
      </c>
      <c r="H301" s="30" t="n">
        <v>1640</v>
      </c>
    </row>
    <row r="302" s="31" customFormat="true" ht="13.8" hidden="false" customHeight="false" outlineLevel="0" collapsed="false">
      <c r="A302" s="25" t="n">
        <v>587</v>
      </c>
      <c r="B302" s="26" t="s">
        <v>219</v>
      </c>
      <c r="C302" s="26" t="str">
        <f aca="false">"0861758"</f>
        <v>0861758</v>
      </c>
      <c r="D302" s="27" t="s">
        <v>221</v>
      </c>
      <c r="E302" s="26" t="n">
        <v>1977</v>
      </c>
      <c r="F302" s="28" t="n">
        <v>3119.16</v>
      </c>
      <c r="G302" s="29" t="n">
        <v>3</v>
      </c>
      <c r="H302" s="30" t="n">
        <v>420</v>
      </c>
    </row>
    <row r="303" s="31" customFormat="true" ht="13.8" hidden="false" customHeight="false" outlineLevel="0" collapsed="false">
      <c r="A303" s="32" t="n">
        <v>588</v>
      </c>
      <c r="B303" s="26" t="s">
        <v>219</v>
      </c>
      <c r="C303" s="26" t="str">
        <f aca="false">"0861782"</f>
        <v>0861782</v>
      </c>
      <c r="D303" s="27" t="s">
        <v>222</v>
      </c>
      <c r="E303" s="26" t="n">
        <v>1977</v>
      </c>
      <c r="F303" s="28" t="n">
        <v>31861.73</v>
      </c>
      <c r="G303" s="29" t="n">
        <v>1</v>
      </c>
      <c r="H303" s="30" t="n">
        <v>1230</v>
      </c>
    </row>
    <row r="304" s="31" customFormat="true" ht="13.8" hidden="false" customHeight="false" outlineLevel="0" collapsed="false">
      <c r="A304" s="35" t="n">
        <v>590</v>
      </c>
      <c r="B304" s="26" t="s">
        <v>219</v>
      </c>
      <c r="C304" s="26" t="str">
        <f aca="false">"0861839"</f>
        <v>0861839</v>
      </c>
      <c r="D304" s="27" t="s">
        <v>223</v>
      </c>
      <c r="E304" s="26" t="n">
        <v>1977</v>
      </c>
      <c r="F304" s="28" t="n">
        <v>6866.64</v>
      </c>
      <c r="G304" s="29" t="n">
        <v>1</v>
      </c>
      <c r="H304" s="30" t="n">
        <v>280</v>
      </c>
    </row>
    <row r="305" s="31" customFormat="true" ht="13.8" hidden="false" customHeight="false" outlineLevel="0" collapsed="false">
      <c r="A305" s="33" t="n">
        <v>592</v>
      </c>
      <c r="B305" s="26" t="s">
        <v>219</v>
      </c>
      <c r="C305" s="26" t="str">
        <f aca="false">"0855316"</f>
        <v>0855316</v>
      </c>
      <c r="D305" s="27" t="s">
        <v>224</v>
      </c>
      <c r="E305" s="26" t="n">
        <v>1986</v>
      </c>
      <c r="F305" s="28" t="n">
        <f aca="false">47021.99*1.2</f>
        <v>56426.388</v>
      </c>
      <c r="G305" s="29" t="n">
        <v>1</v>
      </c>
      <c r="H305" s="30" t="n">
        <v>2750</v>
      </c>
    </row>
    <row r="306" s="31" customFormat="true" ht="13.8" hidden="false" customHeight="false" outlineLevel="0" collapsed="false">
      <c r="A306" s="32" t="n">
        <v>593</v>
      </c>
      <c r="B306" s="26" t="s">
        <v>219</v>
      </c>
      <c r="C306" s="26" t="str">
        <f aca="false">"0855340"</f>
        <v>0855340</v>
      </c>
      <c r="D306" s="27" t="s">
        <v>225</v>
      </c>
      <c r="E306" s="26" t="n">
        <v>2005</v>
      </c>
      <c r="F306" s="28" t="n">
        <v>96238.5</v>
      </c>
      <c r="G306" s="29" t="n">
        <v>1</v>
      </c>
      <c r="H306" s="30" t="n">
        <v>9000</v>
      </c>
    </row>
    <row r="307" s="31" customFormat="true" ht="13.8" hidden="false" customHeight="false" outlineLevel="0" collapsed="false">
      <c r="A307" s="32" t="n">
        <v>597</v>
      </c>
      <c r="B307" s="26" t="s">
        <v>219</v>
      </c>
      <c r="C307" s="26" t="str">
        <f aca="false">"0861995"</f>
        <v>0861995</v>
      </c>
      <c r="D307" s="27" t="s">
        <v>226</v>
      </c>
      <c r="E307" s="26" t="n">
        <v>1984</v>
      </c>
      <c r="F307" s="28" t="n">
        <f aca="false">6507.29</f>
        <v>6507.29</v>
      </c>
      <c r="G307" s="29" t="n">
        <v>2</v>
      </c>
      <c r="H307" s="30" t="n">
        <v>600</v>
      </c>
    </row>
    <row r="308" s="31" customFormat="true" ht="13.8" hidden="false" customHeight="false" outlineLevel="0" collapsed="false">
      <c r="A308" s="33" t="n">
        <v>601</v>
      </c>
      <c r="B308" s="26" t="s">
        <v>219</v>
      </c>
      <c r="C308" s="26" t="str">
        <f aca="false">"0862142"</f>
        <v>0862142</v>
      </c>
      <c r="D308" s="27" t="s">
        <v>227</v>
      </c>
      <c r="E308" s="26" t="n">
        <v>1986</v>
      </c>
      <c r="F308" s="28" t="n">
        <f aca="false">840.58</f>
        <v>840.58</v>
      </c>
      <c r="G308" s="29" t="n">
        <v>2</v>
      </c>
      <c r="H308" s="30" t="n">
        <v>80</v>
      </c>
    </row>
    <row r="309" s="31" customFormat="true" ht="13.8" hidden="false" customHeight="false" outlineLevel="0" collapsed="false">
      <c r="A309" s="25" t="n">
        <v>613</v>
      </c>
      <c r="B309" s="26" t="s">
        <v>219</v>
      </c>
      <c r="C309" s="26" t="str">
        <f aca="false">"0855545"</f>
        <v>0855545</v>
      </c>
      <c r="D309" s="27" t="s">
        <v>228</v>
      </c>
      <c r="E309" s="26" t="n">
        <v>1960</v>
      </c>
      <c r="F309" s="28" t="n">
        <f aca="false">33403.51*1.3</f>
        <v>43424.563</v>
      </c>
      <c r="G309" s="29" t="n">
        <v>3</v>
      </c>
      <c r="H309" s="30" t="n">
        <v>2850</v>
      </c>
    </row>
    <row r="310" s="31" customFormat="true" ht="13.8" hidden="false" customHeight="false" outlineLevel="0" collapsed="false">
      <c r="A310" s="38" t="n">
        <v>614</v>
      </c>
      <c r="B310" s="26" t="s">
        <v>219</v>
      </c>
      <c r="C310" s="26" t="str">
        <f aca="false">"0855570"</f>
        <v>0855570</v>
      </c>
      <c r="D310" s="27" t="s">
        <v>229</v>
      </c>
      <c r="E310" s="26" t="n">
        <v>1960</v>
      </c>
      <c r="F310" s="28" t="n">
        <f aca="false">10927790.67*1.3</f>
        <v>14206127.871</v>
      </c>
      <c r="G310" s="29" t="n">
        <v>1</v>
      </c>
      <c r="H310" s="30" t="n">
        <v>336400</v>
      </c>
    </row>
    <row r="311" s="31" customFormat="true" ht="13.8" hidden="false" customHeight="false" outlineLevel="0" collapsed="false">
      <c r="A311" s="25" t="n">
        <v>615</v>
      </c>
      <c r="B311" s="26" t="s">
        <v>219</v>
      </c>
      <c r="C311" s="26" t="str">
        <f aca="false">"0855588"</f>
        <v>0855588</v>
      </c>
      <c r="D311" s="27" t="s">
        <v>230</v>
      </c>
      <c r="E311" s="26" t="n">
        <v>1960</v>
      </c>
      <c r="F311" s="28" t="n">
        <f aca="false">50551.16*1.3</f>
        <v>65716.508</v>
      </c>
      <c r="G311" s="29" t="n">
        <v>1</v>
      </c>
      <c r="H311" s="30" t="n">
        <v>1430</v>
      </c>
    </row>
    <row r="312" s="31" customFormat="true" ht="13.8" hidden="false" customHeight="false" outlineLevel="0" collapsed="false">
      <c r="A312" s="25" t="n">
        <v>617</v>
      </c>
      <c r="B312" s="26" t="s">
        <v>219</v>
      </c>
      <c r="C312" s="26" t="str">
        <f aca="false">"0855600"</f>
        <v>0855600</v>
      </c>
      <c r="D312" s="27" t="s">
        <v>231</v>
      </c>
      <c r="E312" s="26" t="n">
        <v>1960</v>
      </c>
      <c r="F312" s="28" t="n">
        <f aca="false">19564.92*1.3</f>
        <v>25434.396</v>
      </c>
      <c r="G312" s="29" t="n">
        <v>1</v>
      </c>
      <c r="H312" s="30" t="n">
        <v>550</v>
      </c>
    </row>
    <row r="313" s="31" customFormat="true" ht="13.8" hidden="false" customHeight="false" outlineLevel="0" collapsed="false">
      <c r="A313" s="25" t="n">
        <v>618</v>
      </c>
      <c r="B313" s="26" t="s">
        <v>219</v>
      </c>
      <c r="C313" s="26" t="str">
        <f aca="false">"0855626"</f>
        <v>0855626</v>
      </c>
      <c r="D313" s="27" t="s">
        <v>232</v>
      </c>
      <c r="E313" s="26" t="n">
        <v>1960</v>
      </c>
      <c r="F313" s="28" t="n">
        <f aca="false">16550.78*1.3</f>
        <v>21516.014</v>
      </c>
      <c r="G313" s="29" t="n">
        <v>1</v>
      </c>
      <c r="H313" s="30" t="n">
        <v>470</v>
      </c>
    </row>
    <row r="314" s="31" customFormat="true" ht="13.8" hidden="false" customHeight="false" outlineLevel="0" collapsed="false">
      <c r="A314" s="25" t="n">
        <v>620</v>
      </c>
      <c r="B314" s="26" t="s">
        <v>219</v>
      </c>
      <c r="C314" s="26" t="str">
        <f aca="false">"0855642"</f>
        <v>0855642</v>
      </c>
      <c r="D314" s="27" t="s">
        <v>233</v>
      </c>
      <c r="E314" s="26" t="n">
        <v>1960</v>
      </c>
      <c r="F314" s="28" t="n">
        <f aca="false">55322.09*1.3</f>
        <v>71918.717</v>
      </c>
      <c r="G314" s="29" t="n">
        <v>1</v>
      </c>
      <c r="H314" s="30" t="n">
        <v>1700</v>
      </c>
    </row>
    <row r="315" s="31" customFormat="true" ht="13.8" hidden="false" customHeight="false" outlineLevel="0" collapsed="false">
      <c r="A315" s="25" t="n">
        <v>629</v>
      </c>
      <c r="B315" s="26" t="s">
        <v>219</v>
      </c>
      <c r="C315" s="26" t="str">
        <f aca="false">"0855910"</f>
        <v>0855910</v>
      </c>
      <c r="D315" s="27" t="s">
        <v>234</v>
      </c>
      <c r="E315" s="26" t="n">
        <v>1968</v>
      </c>
      <c r="F315" s="28" t="n">
        <f aca="false">2414820.2*1.1</f>
        <v>2656302.22</v>
      </c>
      <c r="G315" s="29" t="n">
        <v>1</v>
      </c>
      <c r="H315" s="39" t="s">
        <v>217</v>
      </c>
    </row>
    <row r="316" s="31" customFormat="true" ht="13.8" hidden="false" customHeight="false" outlineLevel="0" collapsed="false">
      <c r="A316" s="25" t="n">
        <v>630</v>
      </c>
      <c r="B316" s="26" t="s">
        <v>219</v>
      </c>
      <c r="C316" s="26" t="str">
        <f aca="false">"0855928"</f>
        <v>0855928</v>
      </c>
      <c r="D316" s="27" t="s">
        <v>235</v>
      </c>
      <c r="E316" s="26" t="n">
        <v>1968</v>
      </c>
      <c r="F316" s="28" t="n">
        <f aca="false">946524.71*1.1</f>
        <v>1041177.181</v>
      </c>
      <c r="G316" s="29" t="n">
        <v>1</v>
      </c>
      <c r="H316" s="39" t="s">
        <v>217</v>
      </c>
    </row>
    <row r="317" s="31" customFormat="true" ht="13.8" hidden="false" customHeight="false" outlineLevel="0" collapsed="false">
      <c r="A317" s="32" t="n">
        <v>632</v>
      </c>
      <c r="B317" s="26" t="s">
        <v>219</v>
      </c>
      <c r="C317" s="26" t="str">
        <f aca="false">"0855960"</f>
        <v>0855960</v>
      </c>
      <c r="D317" s="27" t="s">
        <v>236</v>
      </c>
      <c r="E317" s="26" t="n">
        <v>1952</v>
      </c>
      <c r="F317" s="28" t="n">
        <f aca="false">11878.53*1.3</f>
        <v>15442.089</v>
      </c>
      <c r="G317" s="29" t="n">
        <v>1</v>
      </c>
      <c r="H317" s="39" t="s">
        <v>217</v>
      </c>
    </row>
    <row r="318" s="31" customFormat="true" ht="13.8" hidden="false" customHeight="false" outlineLevel="0" collapsed="false">
      <c r="A318" s="33" t="n">
        <v>634</v>
      </c>
      <c r="B318" s="26" t="s">
        <v>219</v>
      </c>
      <c r="C318" s="26" t="str">
        <f aca="false">"0855987"</f>
        <v>0855987</v>
      </c>
      <c r="D318" s="27" t="s">
        <v>237</v>
      </c>
      <c r="E318" s="26" t="n">
        <v>1968</v>
      </c>
      <c r="F318" s="28" t="n">
        <f aca="false">549666.05*1.1</f>
        <v>604632.655</v>
      </c>
      <c r="G318" s="29" t="n">
        <v>1</v>
      </c>
      <c r="H318" s="30" t="n">
        <v>18960</v>
      </c>
    </row>
    <row r="319" s="31" customFormat="true" ht="13.8" hidden="false" customHeight="false" outlineLevel="0" collapsed="false">
      <c r="A319" s="25" t="n">
        <v>646</v>
      </c>
      <c r="B319" s="26" t="s">
        <v>219</v>
      </c>
      <c r="C319" s="26" t="str">
        <f aca="false">"0856231"</f>
        <v>0856231</v>
      </c>
      <c r="D319" s="27" t="s">
        <v>238</v>
      </c>
      <c r="E319" s="26" t="n">
        <v>1971</v>
      </c>
      <c r="F319" s="28" t="n">
        <f aca="false">7134.23*1.1</f>
        <v>7847.653</v>
      </c>
      <c r="G319" s="29" t="n">
        <v>2</v>
      </c>
      <c r="H319" s="30" t="n">
        <v>500</v>
      </c>
    </row>
    <row r="320" s="31" customFormat="true" ht="13.8" hidden="false" customHeight="false" outlineLevel="0" collapsed="false">
      <c r="A320" s="25" t="n">
        <v>647</v>
      </c>
      <c r="B320" s="26" t="s">
        <v>219</v>
      </c>
      <c r="C320" s="26" t="str">
        <f aca="false">"0856258"</f>
        <v>0856258</v>
      </c>
      <c r="D320" s="27" t="s">
        <v>239</v>
      </c>
      <c r="E320" s="26" t="n">
        <v>1971</v>
      </c>
      <c r="F320" s="28" t="n">
        <f aca="false">252634.58*1.1</f>
        <v>277898.038</v>
      </c>
      <c r="G320" s="29" t="n">
        <v>3</v>
      </c>
      <c r="H320" s="30" t="n">
        <v>26940</v>
      </c>
    </row>
    <row r="321" s="31" customFormat="true" ht="13.8" hidden="false" customHeight="false" outlineLevel="0" collapsed="false">
      <c r="A321" s="25" t="n">
        <v>648</v>
      </c>
      <c r="B321" s="26" t="s">
        <v>219</v>
      </c>
      <c r="C321" s="26" t="str">
        <f aca="false">"0856282"</f>
        <v>0856282</v>
      </c>
      <c r="D321" s="27" t="s">
        <v>240</v>
      </c>
      <c r="E321" s="26" t="n">
        <v>1971</v>
      </c>
      <c r="F321" s="28" t="n">
        <f aca="false">137718.57*1.1</f>
        <v>151490.427</v>
      </c>
      <c r="G321" s="29" t="n">
        <v>2</v>
      </c>
      <c r="H321" s="30" t="n">
        <v>9800</v>
      </c>
    </row>
    <row r="322" s="31" customFormat="true" ht="13.8" hidden="false" customHeight="false" outlineLevel="0" collapsed="false">
      <c r="A322" s="25" t="n">
        <v>649</v>
      </c>
      <c r="B322" s="26" t="s">
        <v>219</v>
      </c>
      <c r="C322" s="26" t="str">
        <f aca="false">"0856304"</f>
        <v>0856304</v>
      </c>
      <c r="D322" s="27" t="s">
        <v>240</v>
      </c>
      <c r="E322" s="26" t="n">
        <v>1971</v>
      </c>
      <c r="F322" s="28" t="n">
        <f aca="false">24905.11*1.1</f>
        <v>27395.621</v>
      </c>
      <c r="G322" s="29" t="n">
        <v>1</v>
      </c>
      <c r="H322" s="30" t="n">
        <v>890</v>
      </c>
    </row>
    <row r="323" s="31" customFormat="true" ht="13.8" hidden="false" customHeight="false" outlineLevel="0" collapsed="false">
      <c r="A323" s="25" t="n">
        <v>650</v>
      </c>
      <c r="B323" s="26" t="s">
        <v>219</v>
      </c>
      <c r="C323" s="26" t="str">
        <f aca="false">"0856312"</f>
        <v>0856312</v>
      </c>
      <c r="D323" s="27" t="s">
        <v>241</v>
      </c>
      <c r="E323" s="26" t="n">
        <v>1971</v>
      </c>
      <c r="F323" s="28" t="n">
        <f aca="false">204256.35*1.1</f>
        <v>224681.985</v>
      </c>
      <c r="G323" s="29" t="n">
        <v>2</v>
      </c>
      <c r="H323" s="30" t="n">
        <v>14520</v>
      </c>
    </row>
    <row r="324" s="31" customFormat="true" ht="13.8" hidden="false" customHeight="false" outlineLevel="0" collapsed="false">
      <c r="A324" s="25" t="n">
        <v>651</v>
      </c>
      <c r="B324" s="26" t="s">
        <v>219</v>
      </c>
      <c r="C324" s="26" t="str">
        <f aca="false">"0856339"</f>
        <v>0856339</v>
      </c>
      <c r="D324" s="27" t="s">
        <v>242</v>
      </c>
      <c r="E324" s="26" t="n">
        <v>1971</v>
      </c>
      <c r="F324" s="28" t="n">
        <f aca="false">17206.02*1.1</f>
        <v>18926.622</v>
      </c>
      <c r="G324" s="29" t="n">
        <v>1</v>
      </c>
      <c r="H324" s="30" t="n">
        <v>610</v>
      </c>
    </row>
    <row r="325" s="31" customFormat="true" ht="13.8" hidden="false" customHeight="false" outlineLevel="0" collapsed="false">
      <c r="A325" s="25" t="n">
        <v>655</v>
      </c>
      <c r="B325" s="26" t="s">
        <v>219</v>
      </c>
      <c r="C325" s="26" t="str">
        <f aca="false">"0862681"</f>
        <v>0862681</v>
      </c>
      <c r="D325" s="27" t="s">
        <v>243</v>
      </c>
      <c r="E325" s="26" t="n">
        <v>2001</v>
      </c>
      <c r="F325" s="28" t="n">
        <f aca="false">4955.72</f>
        <v>4955.72</v>
      </c>
      <c r="G325" s="29" t="n">
        <v>1</v>
      </c>
      <c r="H325" s="30" t="n">
        <v>415</v>
      </c>
    </row>
    <row r="326" s="31" customFormat="true" ht="13.8" hidden="false" customHeight="false" outlineLevel="0" collapsed="false">
      <c r="A326" s="25" t="n">
        <v>656</v>
      </c>
      <c r="B326" s="26" t="s">
        <v>219</v>
      </c>
      <c r="C326" s="26" t="str">
        <f aca="false">"0867160"</f>
        <v>0867160</v>
      </c>
      <c r="D326" s="27" t="s">
        <v>244</v>
      </c>
      <c r="E326" s="26" t="n">
        <v>1982</v>
      </c>
      <c r="F326" s="28" t="n">
        <f aca="false">5959.55</f>
        <v>5959.55</v>
      </c>
      <c r="G326" s="29" t="n">
        <v>2</v>
      </c>
      <c r="H326" s="30" t="n">
        <v>520</v>
      </c>
    </row>
    <row r="327" s="31" customFormat="true" ht="13.8" hidden="false" customHeight="false" outlineLevel="0" collapsed="false">
      <c r="A327" s="25" t="n">
        <v>657</v>
      </c>
      <c r="B327" s="26" t="s">
        <v>219</v>
      </c>
      <c r="C327" s="26" t="str">
        <f aca="false">"0867195"</f>
        <v>0867195</v>
      </c>
      <c r="D327" s="27" t="s">
        <v>244</v>
      </c>
      <c r="E327" s="26" t="n">
        <v>1982</v>
      </c>
      <c r="F327" s="28" t="n">
        <f aca="false">6457.05</f>
        <v>6457.05</v>
      </c>
      <c r="G327" s="29" t="n">
        <v>1</v>
      </c>
      <c r="H327" s="30" t="n">
        <v>280</v>
      </c>
    </row>
    <row r="328" s="31" customFormat="true" ht="13.8" hidden="false" customHeight="false" outlineLevel="0" collapsed="false">
      <c r="A328" s="25" t="n">
        <v>658</v>
      </c>
      <c r="B328" s="26" t="s">
        <v>219</v>
      </c>
      <c r="C328" s="26" t="str">
        <f aca="false">"0856401"</f>
        <v>0856401</v>
      </c>
      <c r="D328" s="27" t="s">
        <v>241</v>
      </c>
      <c r="E328" s="26" t="n">
        <v>1972</v>
      </c>
      <c r="F328" s="28" t="n">
        <f aca="false">205250.94*1.2</f>
        <v>246301.128</v>
      </c>
      <c r="G328" s="29" t="n">
        <v>2</v>
      </c>
      <c r="H328" s="30" t="n">
        <v>16400</v>
      </c>
    </row>
    <row r="329" s="31" customFormat="true" ht="13.8" hidden="false" customHeight="false" outlineLevel="0" collapsed="false">
      <c r="A329" s="25" t="n">
        <v>665</v>
      </c>
      <c r="B329" s="26" t="s">
        <v>219</v>
      </c>
      <c r="C329" s="26" t="str">
        <f aca="false">"0856614"</f>
        <v>0856614</v>
      </c>
      <c r="D329" s="27" t="s">
        <v>245</v>
      </c>
      <c r="E329" s="26" t="n">
        <v>1974</v>
      </c>
      <c r="F329" s="28" t="n">
        <f aca="false">10433.25*1.2</f>
        <v>12519.9</v>
      </c>
      <c r="G329" s="29" t="n">
        <v>1</v>
      </c>
      <c r="H329" s="30" t="n">
        <v>440</v>
      </c>
    </row>
    <row r="330" s="31" customFormat="true" ht="13.8" hidden="false" customHeight="false" outlineLevel="0" collapsed="false">
      <c r="A330" s="35" t="n">
        <v>669</v>
      </c>
      <c r="B330" s="26" t="s">
        <v>219</v>
      </c>
      <c r="C330" s="26" t="str">
        <f aca="false">"0856711"</f>
        <v>0856711</v>
      </c>
      <c r="D330" s="27" t="s">
        <v>246</v>
      </c>
      <c r="E330" s="26" t="n">
        <v>1977</v>
      </c>
      <c r="F330" s="28" t="n">
        <f aca="false">21459.71*1.2</f>
        <v>25751.652</v>
      </c>
      <c r="G330" s="29" t="n">
        <v>1</v>
      </c>
      <c r="H330" s="30" t="n">
        <v>1030</v>
      </c>
    </row>
    <row r="331" s="31" customFormat="true" ht="13.8" hidden="false" customHeight="false" outlineLevel="0" collapsed="false">
      <c r="A331" s="33" t="n">
        <v>671</v>
      </c>
      <c r="B331" s="26" t="s">
        <v>219</v>
      </c>
      <c r="C331" s="26" t="str">
        <f aca="false">"0856819"</f>
        <v>0856819</v>
      </c>
      <c r="D331" s="27" t="s">
        <v>247</v>
      </c>
      <c r="E331" s="26" t="n">
        <v>1979</v>
      </c>
      <c r="F331" s="28" t="n">
        <f aca="false">57876.26</f>
        <v>57876.26</v>
      </c>
      <c r="G331" s="29" t="n">
        <v>1</v>
      </c>
      <c r="H331" s="30" t="n">
        <v>2320</v>
      </c>
    </row>
    <row r="332" s="31" customFormat="true" ht="13.8" hidden="false" customHeight="false" outlineLevel="0" collapsed="false">
      <c r="A332" s="25" t="n">
        <v>672</v>
      </c>
      <c r="B332" s="26" t="s">
        <v>219</v>
      </c>
      <c r="C332" s="26" t="str">
        <f aca="false">"0856827"</f>
        <v>0856827</v>
      </c>
      <c r="D332" s="27" t="s">
        <v>248</v>
      </c>
      <c r="E332" s="26" t="n">
        <v>1979</v>
      </c>
      <c r="F332" s="28" t="n">
        <f aca="false">10918.57</f>
        <v>10918.57</v>
      </c>
      <c r="G332" s="29" t="n">
        <v>1</v>
      </c>
      <c r="H332" s="30" t="n">
        <v>440</v>
      </c>
    </row>
    <row r="333" s="31" customFormat="true" ht="13.8" hidden="false" customHeight="false" outlineLevel="0" collapsed="false">
      <c r="A333" s="25" t="n">
        <v>677</v>
      </c>
      <c r="B333" s="26" t="s">
        <v>219</v>
      </c>
      <c r="C333" s="26" t="str">
        <f aca="false">"0857009"</f>
        <v>0857009</v>
      </c>
      <c r="D333" s="27" t="s">
        <v>249</v>
      </c>
      <c r="E333" s="26" t="n">
        <v>1984</v>
      </c>
      <c r="F333" s="28" t="n">
        <f aca="false">18353.8</f>
        <v>18353.8</v>
      </c>
      <c r="G333" s="29" t="n">
        <v>1</v>
      </c>
      <c r="H333" s="30" t="n">
        <v>830</v>
      </c>
    </row>
    <row r="334" s="31" customFormat="true" ht="13.8" hidden="false" customHeight="false" outlineLevel="0" collapsed="false">
      <c r="A334" s="25" t="n">
        <v>678</v>
      </c>
      <c r="B334" s="26" t="s">
        <v>219</v>
      </c>
      <c r="C334" s="26" t="str">
        <f aca="false">"0857017"</f>
        <v>0857017</v>
      </c>
      <c r="D334" s="27" t="s">
        <v>250</v>
      </c>
      <c r="E334" s="26" t="n">
        <v>1984</v>
      </c>
      <c r="F334" s="28" t="n">
        <f aca="false">41713.4</f>
        <v>41713.4</v>
      </c>
      <c r="G334" s="29" t="n">
        <v>3</v>
      </c>
      <c r="H334" s="30" t="n">
        <v>5610</v>
      </c>
    </row>
    <row r="335" s="31" customFormat="true" ht="13.8" hidden="false" customHeight="false" outlineLevel="0" collapsed="false">
      <c r="A335" s="25" t="n">
        <v>679</v>
      </c>
      <c r="B335" s="26" t="s">
        <v>219</v>
      </c>
      <c r="C335" s="26" t="str">
        <f aca="false">"0857041"</f>
        <v>0857041</v>
      </c>
      <c r="D335" s="27" t="s">
        <v>251</v>
      </c>
      <c r="E335" s="26" t="n">
        <v>1984</v>
      </c>
      <c r="F335" s="28" t="n">
        <f aca="false">41713.4</f>
        <v>41713.4</v>
      </c>
      <c r="G335" s="29" t="n">
        <v>1</v>
      </c>
      <c r="H335" s="30" t="n">
        <v>1870</v>
      </c>
    </row>
    <row r="336" s="31" customFormat="true" ht="13.8" hidden="false" customHeight="false" outlineLevel="0" collapsed="false">
      <c r="A336" s="25" t="n">
        <v>680</v>
      </c>
      <c r="B336" s="26" t="s">
        <v>219</v>
      </c>
      <c r="C336" s="26" t="str">
        <f aca="false">"0857050"</f>
        <v>0857050</v>
      </c>
      <c r="D336" s="27" t="s">
        <v>252</v>
      </c>
      <c r="E336" s="26" t="n">
        <v>1984</v>
      </c>
      <c r="F336" s="28" t="n">
        <f aca="false">45884.7</f>
        <v>45884.7</v>
      </c>
      <c r="G336" s="29" t="n">
        <v>1</v>
      </c>
      <c r="H336" s="30" t="n">
        <v>2050</v>
      </c>
    </row>
    <row r="337" s="31" customFormat="true" ht="13.8" hidden="false" customHeight="false" outlineLevel="0" collapsed="false">
      <c r="A337" s="25" t="n">
        <v>681</v>
      </c>
      <c r="B337" s="26" t="s">
        <v>219</v>
      </c>
      <c r="C337" s="26" t="str">
        <f aca="false">"0857068"</f>
        <v>0857068</v>
      </c>
      <c r="D337" s="27" t="s">
        <v>253</v>
      </c>
      <c r="E337" s="26" t="n">
        <v>1984</v>
      </c>
      <c r="F337" s="28" t="n">
        <f aca="false">6674.14</f>
        <v>6674.14</v>
      </c>
      <c r="G337" s="29" t="n">
        <v>3</v>
      </c>
      <c r="H337" s="30" t="n">
        <v>900</v>
      </c>
    </row>
    <row r="338" s="31" customFormat="true" ht="13.8" hidden="false" customHeight="false" outlineLevel="0" collapsed="false">
      <c r="A338" s="25" t="n">
        <v>690</v>
      </c>
      <c r="B338" s="26" t="s">
        <v>219</v>
      </c>
      <c r="C338" s="26" t="str">
        <f aca="false">"0857343"</f>
        <v>0857343</v>
      </c>
      <c r="D338" s="27" t="s">
        <v>254</v>
      </c>
      <c r="E338" s="26" t="n">
        <v>1986</v>
      </c>
      <c r="F338" s="28" t="n">
        <f aca="false">34940.04*1.2</f>
        <v>41928.048</v>
      </c>
      <c r="G338" s="29" t="n">
        <v>1</v>
      </c>
      <c r="H338" s="30" t="n">
        <v>20140</v>
      </c>
    </row>
    <row r="339" s="31" customFormat="true" ht="13.8" hidden="false" customHeight="false" outlineLevel="0" collapsed="false">
      <c r="A339" s="33" t="n">
        <v>694</v>
      </c>
      <c r="B339" s="26" t="s">
        <v>219</v>
      </c>
      <c r="C339" s="26" t="str">
        <f aca="false">"0857459"</f>
        <v>0857459</v>
      </c>
      <c r="D339" s="27" t="s">
        <v>255</v>
      </c>
      <c r="E339" s="26" t="n">
        <v>1986</v>
      </c>
      <c r="F339" s="28" t="n">
        <f aca="false">10240.7*1.2</f>
        <v>12288.84</v>
      </c>
      <c r="G339" s="29" t="n">
        <v>1</v>
      </c>
      <c r="H339" s="30" t="n">
        <v>600</v>
      </c>
    </row>
    <row r="340" s="31" customFormat="true" ht="13.8" hidden="false" customHeight="false" outlineLevel="0" collapsed="false">
      <c r="A340" s="25" t="n">
        <v>695</v>
      </c>
      <c r="B340" s="26" t="s">
        <v>219</v>
      </c>
      <c r="C340" s="26" t="str">
        <f aca="false">"0857475"</f>
        <v>0857475</v>
      </c>
      <c r="D340" s="27" t="s">
        <v>256</v>
      </c>
      <c r="E340" s="26" t="n">
        <v>1986</v>
      </c>
      <c r="F340" s="28" t="n">
        <f aca="false">1281727.92*1.2</f>
        <v>1538073.504</v>
      </c>
      <c r="G340" s="29" t="n">
        <v>1</v>
      </c>
      <c r="H340" s="39" t="s">
        <v>217</v>
      </c>
    </row>
    <row r="341" s="31" customFormat="true" ht="13.8" hidden="false" customHeight="false" outlineLevel="0" collapsed="false">
      <c r="A341" s="25" t="n">
        <v>696</v>
      </c>
      <c r="B341" s="26" t="s">
        <v>219</v>
      </c>
      <c r="C341" s="26" t="str">
        <f aca="false">"0857513"</f>
        <v>0857513</v>
      </c>
      <c r="D341" s="27" t="s">
        <v>257</v>
      </c>
      <c r="E341" s="26" t="n">
        <v>1987</v>
      </c>
      <c r="F341" s="28" t="n">
        <f aca="false">110510.71*1.2</f>
        <v>132612.852</v>
      </c>
      <c r="G341" s="29" t="n">
        <v>1</v>
      </c>
      <c r="H341" s="30" t="n">
        <v>6580</v>
      </c>
    </row>
    <row r="342" s="31" customFormat="true" ht="13.8" hidden="false" customHeight="false" outlineLevel="0" collapsed="false">
      <c r="A342" s="33" t="n">
        <v>700</v>
      </c>
      <c r="B342" s="26" t="s">
        <v>219</v>
      </c>
      <c r="C342" s="26" t="str">
        <f aca="false">"0857645"</f>
        <v>0857645</v>
      </c>
      <c r="D342" s="27" t="s">
        <v>258</v>
      </c>
      <c r="E342" s="26" t="n">
        <v>1989</v>
      </c>
      <c r="F342" s="28" t="n">
        <f aca="false">95135.6</f>
        <v>95135.6</v>
      </c>
      <c r="G342" s="29" t="n">
        <v>1</v>
      </c>
      <c r="H342" s="30" t="n">
        <v>4720</v>
      </c>
    </row>
    <row r="343" s="31" customFormat="true" ht="13.8" hidden="false" customHeight="false" outlineLevel="0" collapsed="false">
      <c r="A343" s="25" t="n">
        <v>702</v>
      </c>
      <c r="B343" s="26" t="s">
        <v>219</v>
      </c>
      <c r="C343" s="26" t="str">
        <f aca="false">"0857670"</f>
        <v>0857670</v>
      </c>
      <c r="D343" s="27" t="s">
        <v>259</v>
      </c>
      <c r="E343" s="26" t="n">
        <v>1989</v>
      </c>
      <c r="F343" s="28" t="n">
        <f aca="false">3563.14</f>
        <v>3563.14</v>
      </c>
      <c r="G343" s="29" t="n">
        <v>1</v>
      </c>
      <c r="H343" s="30" t="n">
        <v>180</v>
      </c>
    </row>
    <row r="344" s="31" customFormat="true" ht="13.8" hidden="false" customHeight="false" outlineLevel="0" collapsed="false">
      <c r="A344" s="35" t="n">
        <v>713</v>
      </c>
      <c r="B344" s="26" t="s">
        <v>219</v>
      </c>
      <c r="C344" s="26" t="str">
        <f aca="false">"0857831"</f>
        <v>0857831</v>
      </c>
      <c r="D344" s="27" t="s">
        <v>260</v>
      </c>
      <c r="E344" s="26" t="n">
        <v>1991</v>
      </c>
      <c r="F344" s="28" t="n">
        <f aca="false">767829.59*1.1</f>
        <v>844612.549</v>
      </c>
      <c r="G344" s="29" t="n">
        <v>1</v>
      </c>
      <c r="H344" s="30" t="n">
        <v>45140</v>
      </c>
    </row>
    <row r="345" s="31" customFormat="true" ht="13.8" hidden="false" customHeight="false" outlineLevel="0" collapsed="false">
      <c r="A345" s="35" t="n">
        <v>718</v>
      </c>
      <c r="B345" s="26" t="s">
        <v>219</v>
      </c>
      <c r="C345" s="26" t="str">
        <f aca="false">"0858722"</f>
        <v>0858722</v>
      </c>
      <c r="D345" s="27" t="s">
        <v>261</v>
      </c>
      <c r="E345" s="26" t="n">
        <v>2001</v>
      </c>
      <c r="F345" s="28" t="n">
        <v>1100</v>
      </c>
      <c r="G345" s="29" t="n">
        <v>1</v>
      </c>
      <c r="H345" s="30" t="n">
        <v>70</v>
      </c>
    </row>
    <row r="346" s="31" customFormat="true" ht="13.8" hidden="false" customHeight="false" outlineLevel="0" collapsed="false">
      <c r="A346" s="35" t="n">
        <v>720</v>
      </c>
      <c r="B346" s="26" t="s">
        <v>219</v>
      </c>
      <c r="C346" s="26" t="str">
        <f aca="false">"0858803"</f>
        <v>0858803</v>
      </c>
      <c r="D346" s="27" t="s">
        <v>262</v>
      </c>
      <c r="E346" s="26" t="n">
        <v>2002</v>
      </c>
      <c r="F346" s="28" t="n">
        <v>15536</v>
      </c>
      <c r="G346" s="29" t="n">
        <v>1</v>
      </c>
      <c r="H346" s="30" t="n">
        <v>1000</v>
      </c>
    </row>
    <row r="347" s="31" customFormat="true" ht="13.8" hidden="false" customHeight="false" outlineLevel="0" collapsed="false">
      <c r="A347" s="33" t="n">
        <v>722</v>
      </c>
      <c r="B347" s="26" t="s">
        <v>219</v>
      </c>
      <c r="C347" s="26" t="str">
        <f aca="false">"0859257"</f>
        <v>0859257</v>
      </c>
      <c r="D347" s="27" t="s">
        <v>263</v>
      </c>
      <c r="E347" s="26" t="n">
        <v>2005</v>
      </c>
      <c r="F347" s="28" t="n">
        <v>5995.56</v>
      </c>
      <c r="G347" s="29" t="n">
        <v>1</v>
      </c>
      <c r="H347" s="39" t="s">
        <v>217</v>
      </c>
    </row>
    <row r="348" s="31" customFormat="true" ht="13.8" hidden="false" customHeight="false" outlineLevel="0" collapsed="false">
      <c r="A348" s="25" t="n">
        <v>723</v>
      </c>
      <c r="B348" s="26" t="s">
        <v>219</v>
      </c>
      <c r="C348" s="26" t="str">
        <f aca="false">"0859338"</f>
        <v>0859338</v>
      </c>
      <c r="D348" s="27" t="s">
        <v>121</v>
      </c>
      <c r="E348" s="26" t="n">
        <v>2005</v>
      </c>
      <c r="F348" s="28" t="n">
        <v>5015.71</v>
      </c>
      <c r="G348" s="29" t="n">
        <v>4</v>
      </c>
      <c r="H348" s="30" t="n">
        <v>1280</v>
      </c>
    </row>
    <row r="349" s="31" customFormat="true" ht="13.8" hidden="false" customHeight="false" outlineLevel="0" collapsed="false">
      <c r="A349" s="32" t="n">
        <v>724</v>
      </c>
      <c r="B349" s="26" t="s">
        <v>219</v>
      </c>
      <c r="C349" s="26" t="str">
        <f aca="false">"0859370"</f>
        <v>0859370</v>
      </c>
      <c r="D349" s="27" t="s">
        <v>264</v>
      </c>
      <c r="E349" s="26" t="n">
        <v>2005</v>
      </c>
      <c r="F349" s="28" t="n">
        <v>4745.74</v>
      </c>
      <c r="G349" s="29" t="n">
        <v>2</v>
      </c>
      <c r="H349" s="30" t="n">
        <v>600</v>
      </c>
    </row>
    <row r="350" s="31" customFormat="true" ht="13.8" hidden="false" customHeight="false" outlineLevel="0" collapsed="false">
      <c r="A350" s="25" t="n">
        <v>727</v>
      </c>
      <c r="B350" s="26" t="s">
        <v>219</v>
      </c>
      <c r="C350" s="26" t="str">
        <f aca="false">"0859710"</f>
        <v>0859710</v>
      </c>
      <c r="D350" s="27" t="s">
        <v>265</v>
      </c>
      <c r="E350" s="26" t="n">
        <v>2006</v>
      </c>
      <c r="F350" s="28" t="n">
        <v>62251.4</v>
      </c>
      <c r="G350" s="29" t="n">
        <v>1</v>
      </c>
      <c r="H350" s="30" t="n">
        <v>6400</v>
      </c>
    </row>
    <row r="351" s="31" customFormat="true" ht="13.8" hidden="false" customHeight="false" outlineLevel="0" collapsed="false">
      <c r="A351" s="38" t="n">
        <v>729</v>
      </c>
      <c r="B351" s="26" t="s">
        <v>219</v>
      </c>
      <c r="C351" s="26" t="str">
        <f aca="false">"0859826"</f>
        <v>0859826</v>
      </c>
      <c r="D351" s="27" t="s">
        <v>266</v>
      </c>
      <c r="E351" s="26" t="n">
        <v>2008</v>
      </c>
      <c r="F351" s="28" t="n">
        <v>291337.14</v>
      </c>
      <c r="G351" s="29" t="n">
        <v>1</v>
      </c>
      <c r="H351" s="30" t="n">
        <v>35500</v>
      </c>
    </row>
    <row r="352" s="31" customFormat="true" ht="13.8" hidden="false" customHeight="false" outlineLevel="0" collapsed="false">
      <c r="A352" s="32" t="n">
        <v>730</v>
      </c>
      <c r="B352" s="26" t="s">
        <v>219</v>
      </c>
      <c r="C352" s="26" t="str">
        <f aca="false">"0870960"</f>
        <v>0870960</v>
      </c>
      <c r="D352" s="27" t="s">
        <v>27</v>
      </c>
      <c r="E352" s="26" t="n">
        <v>1986</v>
      </c>
      <c r="F352" s="28" t="n">
        <v>170.85</v>
      </c>
      <c r="G352" s="29" t="n">
        <v>1</v>
      </c>
      <c r="H352" s="30" t="n">
        <v>10</v>
      </c>
    </row>
    <row r="353" s="31" customFormat="true" ht="13.8" hidden="false" customHeight="false" outlineLevel="0" collapsed="false">
      <c r="A353" s="33" t="n">
        <v>732</v>
      </c>
      <c r="B353" s="26" t="s">
        <v>219</v>
      </c>
      <c r="C353" s="26" t="str">
        <f aca="false">"0860409"</f>
        <v>0860409</v>
      </c>
      <c r="D353" s="27" t="s">
        <v>267</v>
      </c>
      <c r="E353" s="26" t="n">
        <v>2010</v>
      </c>
      <c r="F353" s="28" t="n">
        <v>159295.1</v>
      </c>
      <c r="G353" s="29" t="n">
        <v>1</v>
      </c>
      <c r="H353" s="30" t="n">
        <v>19500</v>
      </c>
    </row>
    <row r="354" s="31" customFormat="true" ht="13.8" hidden="false" customHeight="false" outlineLevel="0" collapsed="false">
      <c r="A354" s="38" t="n">
        <v>735</v>
      </c>
      <c r="B354" s="26" t="s">
        <v>219</v>
      </c>
      <c r="C354" s="26" t="str">
        <f aca="false">"0860549"</f>
        <v>0860549</v>
      </c>
      <c r="D354" s="27" t="s">
        <v>268</v>
      </c>
      <c r="E354" s="26" t="n">
        <v>1959</v>
      </c>
      <c r="F354" s="28" t="n">
        <f aca="false">706093.56*1.35</f>
        <v>953226.306</v>
      </c>
      <c r="G354" s="29" t="n">
        <v>1</v>
      </c>
      <c r="H354" s="30" t="n">
        <v>24500</v>
      </c>
    </row>
    <row r="355" s="31" customFormat="true" ht="13.8" hidden="false" customHeight="false" outlineLevel="0" collapsed="false">
      <c r="A355" s="38" t="n">
        <v>736</v>
      </c>
      <c r="B355" s="26" t="s">
        <v>219</v>
      </c>
      <c r="C355" s="26" t="str">
        <f aca="false">"0860573"</f>
        <v>0860573</v>
      </c>
      <c r="D355" s="27" t="s">
        <v>269</v>
      </c>
      <c r="E355" s="26" t="n">
        <v>1962</v>
      </c>
      <c r="F355" s="28" t="n">
        <f aca="false">833749.18*1.3</f>
        <v>1083873.934</v>
      </c>
      <c r="G355" s="29" t="n">
        <v>1</v>
      </c>
      <c r="H355" s="30" t="n">
        <v>30870</v>
      </c>
    </row>
    <row r="356" s="31" customFormat="true" ht="13.8" hidden="false" customHeight="false" outlineLevel="0" collapsed="false">
      <c r="A356" s="38" t="n">
        <v>737</v>
      </c>
      <c r="B356" s="26" t="s">
        <v>219</v>
      </c>
      <c r="C356" s="26" t="str">
        <f aca="false">"0860557"</f>
        <v>0860557</v>
      </c>
      <c r="D356" s="27" t="s">
        <v>270</v>
      </c>
      <c r="E356" s="26" t="n">
        <v>1959</v>
      </c>
      <c r="F356" s="28" t="n">
        <f aca="false">423646.56*1.35</f>
        <v>571922.856</v>
      </c>
      <c r="G356" s="29" t="n">
        <v>1</v>
      </c>
      <c r="H356" s="30" t="n">
        <v>14650</v>
      </c>
    </row>
    <row r="357" s="31" customFormat="true" ht="13.8" hidden="false" customHeight="false" outlineLevel="0" collapsed="false">
      <c r="A357" s="38" t="n">
        <v>738</v>
      </c>
      <c r="B357" s="26" t="s">
        <v>219</v>
      </c>
      <c r="C357" s="26" t="str">
        <f aca="false">"0860565"</f>
        <v>0860565</v>
      </c>
      <c r="D357" s="27" t="s">
        <v>271</v>
      </c>
      <c r="E357" s="26" t="n">
        <v>1960</v>
      </c>
      <c r="F357" s="28" t="n">
        <f aca="false">412477.91*1.35</f>
        <v>556845.1785</v>
      </c>
      <c r="G357" s="29" t="n">
        <v>1</v>
      </c>
      <c r="H357" s="30" t="n">
        <v>14790</v>
      </c>
    </row>
    <row r="358" s="31" customFormat="true" ht="13.8" hidden="false" customHeight="false" outlineLevel="0" collapsed="false">
      <c r="A358" s="38" t="n">
        <v>739</v>
      </c>
      <c r="B358" s="26" t="s">
        <v>219</v>
      </c>
      <c r="C358" s="26" t="str">
        <f aca="false">"0860581"</f>
        <v>0860581</v>
      </c>
      <c r="D358" s="27" t="s">
        <v>272</v>
      </c>
      <c r="E358" s="26" t="n">
        <v>1962</v>
      </c>
      <c r="F358" s="28" t="n">
        <f aca="false">923376.48*1.3</f>
        <v>1200389.424</v>
      </c>
      <c r="G358" s="29" t="n">
        <v>1</v>
      </c>
      <c r="H358" s="30" t="n">
        <v>34200</v>
      </c>
    </row>
    <row r="359" s="31" customFormat="true" ht="13.8" hidden="false" customHeight="false" outlineLevel="0" collapsed="false">
      <c r="A359" s="38" t="n">
        <v>740</v>
      </c>
      <c r="B359" s="26" t="s">
        <v>219</v>
      </c>
      <c r="C359" s="26" t="str">
        <f aca="false">"0860638"</f>
        <v>0860638</v>
      </c>
      <c r="D359" s="27" t="s">
        <v>273</v>
      </c>
      <c r="E359" s="26" t="n">
        <v>1968</v>
      </c>
      <c r="F359" s="28" t="n">
        <f aca="false">478543.04*1.3</f>
        <v>622105.952</v>
      </c>
      <c r="G359" s="29" t="n">
        <v>1</v>
      </c>
      <c r="H359" s="30" t="n">
        <v>21300</v>
      </c>
    </row>
    <row r="360" s="31" customFormat="true" ht="13.8" hidden="false" customHeight="false" outlineLevel="0" collapsed="false">
      <c r="A360" s="33" t="n">
        <v>749</v>
      </c>
      <c r="B360" s="26" t="s">
        <v>219</v>
      </c>
      <c r="C360" s="26" t="str">
        <f aca="false">"0860727"</f>
        <v>0860727</v>
      </c>
      <c r="D360" s="27" t="s">
        <v>274</v>
      </c>
      <c r="E360" s="26" t="n">
        <v>1972</v>
      </c>
      <c r="F360" s="28" t="n">
        <f aca="false">90413.39*1.3</f>
        <v>117537.407</v>
      </c>
      <c r="G360" s="29" t="n">
        <v>1</v>
      </c>
      <c r="H360" s="30" t="n">
        <v>4500</v>
      </c>
    </row>
    <row r="361" s="31" customFormat="true" ht="13.8" hidden="false" customHeight="false" outlineLevel="0" collapsed="false">
      <c r="A361" s="38" t="n">
        <v>751</v>
      </c>
      <c r="B361" s="26" t="s">
        <v>219</v>
      </c>
      <c r="C361" s="26" t="str">
        <f aca="false">"0860751"</f>
        <v>0860751</v>
      </c>
      <c r="D361" s="27" t="s">
        <v>275</v>
      </c>
      <c r="E361" s="26" t="n">
        <v>1968</v>
      </c>
      <c r="F361" s="28" t="n">
        <f aca="false">246107.56*1.3</f>
        <v>319939.828</v>
      </c>
      <c r="G361" s="29" t="n">
        <v>1</v>
      </c>
      <c r="H361" s="30" t="n">
        <v>10950</v>
      </c>
    </row>
    <row r="362" s="31" customFormat="true" ht="13.8" hidden="false" customHeight="false" outlineLevel="0" collapsed="false">
      <c r="A362" s="33" t="n">
        <v>756</v>
      </c>
      <c r="B362" s="26" t="s">
        <v>219</v>
      </c>
      <c r="C362" s="26" t="str">
        <f aca="false">"0861006"</f>
        <v>0861006</v>
      </c>
      <c r="D362" s="27" t="s">
        <v>276</v>
      </c>
      <c r="E362" s="26" t="n">
        <v>1979</v>
      </c>
      <c r="F362" s="28" t="n">
        <f aca="false">166129.48*1.25</f>
        <v>207661.85</v>
      </c>
      <c r="G362" s="29" t="n">
        <v>1</v>
      </c>
      <c r="H362" s="30" t="n">
        <v>8930</v>
      </c>
    </row>
    <row r="363" s="31" customFormat="true" ht="13.8" hidden="false" customHeight="false" outlineLevel="0" collapsed="false">
      <c r="A363" s="38" t="n">
        <v>757</v>
      </c>
      <c r="B363" s="26" t="s">
        <v>219</v>
      </c>
      <c r="C363" s="26" t="str">
        <f aca="false">"0861014"</f>
        <v>0861014</v>
      </c>
      <c r="D363" s="27" t="s">
        <v>277</v>
      </c>
      <c r="E363" s="26" t="n">
        <v>1979</v>
      </c>
      <c r="F363" s="28" t="n">
        <f aca="false">84651.99*1.25</f>
        <v>105814.9875</v>
      </c>
      <c r="G363" s="29" t="n">
        <v>2</v>
      </c>
      <c r="H363" s="30" t="n">
        <v>9480</v>
      </c>
    </row>
    <row r="364" s="31" customFormat="true" ht="13.8" hidden="false" customHeight="false" outlineLevel="0" collapsed="false">
      <c r="A364" s="25" t="n">
        <v>758</v>
      </c>
      <c r="B364" s="26" t="s">
        <v>219</v>
      </c>
      <c r="C364" s="26" t="str">
        <f aca="false">"0861316"</f>
        <v>0861316</v>
      </c>
      <c r="D364" s="27" t="s">
        <v>249</v>
      </c>
      <c r="E364" s="26" t="n">
        <v>1971</v>
      </c>
      <c r="F364" s="28" t="n">
        <f aca="false">70975.02*1.25</f>
        <v>88718.775</v>
      </c>
      <c r="G364" s="29" t="n">
        <v>1</v>
      </c>
      <c r="H364" s="30" t="n">
        <v>3040</v>
      </c>
    </row>
    <row r="365" s="31" customFormat="true" ht="13.8" hidden="false" customHeight="false" outlineLevel="0" collapsed="false">
      <c r="A365" s="25" t="n">
        <v>760</v>
      </c>
      <c r="B365" s="26" t="s">
        <v>219</v>
      </c>
      <c r="C365" s="26" t="str">
        <f aca="false">"0861391"</f>
        <v>0861391</v>
      </c>
      <c r="D365" s="27" t="s">
        <v>278</v>
      </c>
      <c r="E365" s="26" t="n">
        <v>1977</v>
      </c>
      <c r="F365" s="28" t="n">
        <f aca="false">42101.2*1.25</f>
        <v>52626.5</v>
      </c>
      <c r="G365" s="29" t="n">
        <v>1</v>
      </c>
      <c r="H365" s="30" t="n">
        <v>3220</v>
      </c>
    </row>
    <row r="366" s="31" customFormat="true" ht="13.8" hidden="false" customHeight="false" outlineLevel="0" collapsed="false">
      <c r="A366" s="25" t="n">
        <v>772</v>
      </c>
      <c r="B366" s="26" t="s">
        <v>219</v>
      </c>
      <c r="C366" s="26" t="s">
        <v>23</v>
      </c>
      <c r="D366" s="27" t="s">
        <v>26</v>
      </c>
      <c r="E366" s="26" t="n">
        <v>2000</v>
      </c>
      <c r="F366" s="28" t="n">
        <v>4160</v>
      </c>
      <c r="G366" s="29" t="n">
        <v>1</v>
      </c>
      <c r="H366" s="30" t="n">
        <v>230</v>
      </c>
    </row>
    <row r="367" s="31" customFormat="true" ht="13.8" hidden="false" customHeight="false" outlineLevel="0" collapsed="false">
      <c r="A367" s="25" t="n">
        <v>773</v>
      </c>
      <c r="B367" s="26" t="s">
        <v>279</v>
      </c>
      <c r="C367" s="26" t="str">
        <f aca="false">"0924644"</f>
        <v>0924644</v>
      </c>
      <c r="D367" s="27" t="s">
        <v>280</v>
      </c>
      <c r="E367" s="26" t="n">
        <v>2017</v>
      </c>
      <c r="F367" s="28" t="n">
        <v>70613.86</v>
      </c>
      <c r="G367" s="29" t="n">
        <v>1</v>
      </c>
      <c r="H367" s="30" t="n">
        <v>40000</v>
      </c>
    </row>
    <row r="368" s="31" customFormat="true" ht="13.8" hidden="false" customHeight="false" outlineLevel="0" collapsed="false">
      <c r="A368" s="38" t="n">
        <v>774</v>
      </c>
      <c r="B368" s="26" t="s">
        <v>279</v>
      </c>
      <c r="C368" s="26" t="str">
        <f aca="false">"0924652"</f>
        <v>0924652</v>
      </c>
      <c r="D368" s="27" t="s">
        <v>281</v>
      </c>
      <c r="E368" s="26" t="n">
        <v>2017</v>
      </c>
      <c r="F368" s="28" t="n">
        <v>8615.3</v>
      </c>
      <c r="G368" s="29" t="n">
        <v>1</v>
      </c>
      <c r="H368" s="30" t="n">
        <v>4700</v>
      </c>
    </row>
    <row r="369" s="31" customFormat="true" ht="13.8" hidden="false" customHeight="false" outlineLevel="0" collapsed="false">
      <c r="A369" s="25" t="n">
        <v>775</v>
      </c>
      <c r="B369" s="26" t="s">
        <v>279</v>
      </c>
      <c r="C369" s="26" t="str">
        <f aca="false">"0927155"</f>
        <v>0927155</v>
      </c>
      <c r="D369" s="27" t="s">
        <v>282</v>
      </c>
      <c r="E369" s="26" t="n">
        <v>2018</v>
      </c>
      <c r="F369" s="28" t="n">
        <v>868</v>
      </c>
      <c r="G369" s="29" t="n">
        <v>1</v>
      </c>
      <c r="H369" s="30" t="n">
        <v>570</v>
      </c>
    </row>
    <row r="370" s="31" customFormat="true" ht="13.8" hidden="false" customHeight="false" outlineLevel="0" collapsed="false">
      <c r="A370" s="25" t="n">
        <v>776</v>
      </c>
      <c r="B370" s="26" t="s">
        <v>279</v>
      </c>
      <c r="C370" s="26" t="str">
        <f aca="false">"0927163"</f>
        <v>0927163</v>
      </c>
      <c r="D370" s="27" t="s">
        <v>283</v>
      </c>
      <c r="E370" s="26" t="n">
        <v>2018</v>
      </c>
      <c r="F370" s="28" t="n">
        <v>1784.11</v>
      </c>
      <c r="G370" s="29" t="n">
        <v>1</v>
      </c>
      <c r="H370" s="30" t="n">
        <v>1150</v>
      </c>
    </row>
    <row r="371" s="31" customFormat="true" ht="13.8" hidden="false" customHeight="false" outlineLevel="0" collapsed="false">
      <c r="A371" s="25" t="n">
        <v>777</v>
      </c>
      <c r="B371" s="26" t="s">
        <v>279</v>
      </c>
      <c r="C371" s="26" t="s">
        <v>23</v>
      </c>
      <c r="D371" s="27" t="s">
        <v>284</v>
      </c>
      <c r="E371" s="26" t="n">
        <v>2013</v>
      </c>
      <c r="F371" s="28" t="n">
        <f aca="false">1660*7.5</f>
        <v>12450</v>
      </c>
      <c r="G371" s="29" t="n">
        <v>1</v>
      </c>
      <c r="H371" s="30" t="n">
        <v>2800</v>
      </c>
    </row>
    <row r="372" s="31" customFormat="true" ht="13.8" hidden="false" customHeight="false" outlineLevel="0" collapsed="false">
      <c r="A372" s="25" t="n">
        <v>778</v>
      </c>
      <c r="B372" s="26" t="s">
        <v>279</v>
      </c>
      <c r="C372" s="26" t="s">
        <v>23</v>
      </c>
      <c r="D372" s="27" t="s">
        <v>285</v>
      </c>
      <c r="E372" s="26" t="n">
        <v>2013</v>
      </c>
      <c r="F372" s="28" t="n">
        <f aca="false">770*7.5</f>
        <v>5775</v>
      </c>
      <c r="G372" s="29" t="n">
        <v>1</v>
      </c>
      <c r="H372" s="30" t="n">
        <v>1300</v>
      </c>
    </row>
    <row r="373" s="31" customFormat="true" ht="13.8" hidden="false" customHeight="false" outlineLevel="0" collapsed="false">
      <c r="A373" s="25" t="n">
        <v>779</v>
      </c>
      <c r="B373" s="26" t="s">
        <v>279</v>
      </c>
      <c r="C373" s="26" t="s">
        <v>23</v>
      </c>
      <c r="D373" s="27" t="s">
        <v>286</v>
      </c>
      <c r="E373" s="26" t="n">
        <v>2013</v>
      </c>
      <c r="F373" s="28" t="n">
        <v>22500</v>
      </c>
      <c r="G373" s="29" t="n">
        <v>1</v>
      </c>
      <c r="H373" s="30" t="n">
        <v>6420</v>
      </c>
    </row>
    <row r="374" s="31" customFormat="true" ht="13.8" hidden="false" customHeight="false" outlineLevel="0" collapsed="false">
      <c r="A374" s="25" t="n">
        <v>780</v>
      </c>
      <c r="B374" s="26" t="s">
        <v>279</v>
      </c>
      <c r="C374" s="26" t="s">
        <v>23</v>
      </c>
      <c r="D374" s="27" t="s">
        <v>287</v>
      </c>
      <c r="E374" s="26" t="n">
        <v>2013</v>
      </c>
      <c r="F374" s="28" t="n">
        <v>25300</v>
      </c>
      <c r="G374" s="29" t="n">
        <v>1</v>
      </c>
      <c r="H374" s="30" t="n">
        <v>7220</v>
      </c>
    </row>
    <row r="375" s="31" customFormat="true" ht="13.8" hidden="false" customHeight="false" outlineLevel="0" collapsed="false">
      <c r="A375" s="25" t="n">
        <v>781</v>
      </c>
      <c r="B375" s="26" t="s">
        <v>279</v>
      </c>
      <c r="C375" s="26" t="s">
        <v>23</v>
      </c>
      <c r="D375" s="27" t="s">
        <v>288</v>
      </c>
      <c r="E375" s="26" t="n">
        <v>2013</v>
      </c>
      <c r="F375" s="28" t="n">
        <v>22000</v>
      </c>
      <c r="G375" s="29" t="n">
        <v>1</v>
      </c>
      <c r="H375" s="30" t="n">
        <v>6300</v>
      </c>
    </row>
    <row r="376" s="31" customFormat="true" ht="13.8" hidden="false" customHeight="false" outlineLevel="0" collapsed="false">
      <c r="A376" s="33" t="n">
        <v>787</v>
      </c>
      <c r="B376" s="26" t="s">
        <v>279</v>
      </c>
      <c r="C376" s="26" t="s">
        <v>23</v>
      </c>
      <c r="D376" s="27" t="s">
        <v>289</v>
      </c>
      <c r="E376" s="26" t="n">
        <v>2013</v>
      </c>
      <c r="F376" s="28" t="n">
        <v>16820</v>
      </c>
      <c r="G376" s="29" t="n">
        <v>1</v>
      </c>
      <c r="H376" s="30" t="n">
        <v>4800</v>
      </c>
    </row>
    <row r="377" s="31" customFormat="true" ht="13.8" hidden="false" customHeight="false" outlineLevel="0" collapsed="false">
      <c r="A377" s="32" t="n">
        <v>788</v>
      </c>
      <c r="B377" s="26" t="s">
        <v>279</v>
      </c>
      <c r="C377" s="26" t="s">
        <v>23</v>
      </c>
      <c r="D377" s="27" t="s">
        <v>290</v>
      </c>
      <c r="E377" s="26" t="n">
        <v>2013</v>
      </c>
      <c r="F377" s="28" t="n">
        <v>65024</v>
      </c>
      <c r="G377" s="29" t="n">
        <v>1</v>
      </c>
      <c r="H377" s="30" t="n">
        <v>18600</v>
      </c>
    </row>
    <row r="378" s="31" customFormat="true" ht="13.8" hidden="false" customHeight="false" outlineLevel="0" collapsed="false">
      <c r="A378" s="33" t="n">
        <v>790</v>
      </c>
      <c r="B378" s="26" t="s">
        <v>279</v>
      </c>
      <c r="C378" s="26" t="s">
        <v>23</v>
      </c>
      <c r="D378" s="27" t="s">
        <v>291</v>
      </c>
      <c r="E378" s="26" t="n">
        <v>2013</v>
      </c>
      <c r="F378" s="28" t="n">
        <f aca="false">2900*7.5</f>
        <v>21750</v>
      </c>
      <c r="G378" s="29" t="n">
        <v>1</v>
      </c>
      <c r="H378" s="30" t="n">
        <v>5000</v>
      </c>
    </row>
    <row r="379" s="31" customFormat="true" ht="13.8" hidden="false" customHeight="false" outlineLevel="0" collapsed="false">
      <c r="A379" s="32" t="n">
        <v>791</v>
      </c>
      <c r="B379" s="26" t="s">
        <v>279</v>
      </c>
      <c r="C379" s="26" t="s">
        <v>23</v>
      </c>
      <c r="D379" s="27" t="s">
        <v>292</v>
      </c>
      <c r="E379" s="26" t="n">
        <v>2013</v>
      </c>
      <c r="F379" s="28" t="n">
        <v>4500</v>
      </c>
      <c r="G379" s="29" t="n">
        <v>3</v>
      </c>
      <c r="H379" s="30" t="n">
        <v>3900</v>
      </c>
    </row>
    <row r="380" s="31" customFormat="true" ht="13.8" hidden="false" customHeight="false" outlineLevel="0" collapsed="false">
      <c r="A380" s="33" t="n">
        <v>793</v>
      </c>
      <c r="B380" s="26" t="s">
        <v>279</v>
      </c>
      <c r="C380" s="26" t="s">
        <v>23</v>
      </c>
      <c r="D380" s="27" t="s">
        <v>293</v>
      </c>
      <c r="E380" s="26" t="n">
        <v>2013</v>
      </c>
      <c r="F380" s="28" t="n">
        <f aca="false">3300*7.5</f>
        <v>24750</v>
      </c>
      <c r="G380" s="29" t="n">
        <v>3</v>
      </c>
      <c r="H380" s="30" t="n">
        <v>21300</v>
      </c>
    </row>
    <row r="381" s="31" customFormat="true" ht="13.8" hidden="false" customHeight="false" outlineLevel="0" collapsed="false">
      <c r="A381" s="32" t="n">
        <v>794</v>
      </c>
      <c r="B381" s="26" t="s">
        <v>279</v>
      </c>
      <c r="C381" s="26" t="s">
        <v>23</v>
      </c>
      <c r="D381" s="27" t="s">
        <v>294</v>
      </c>
      <c r="E381" s="26" t="n">
        <v>2013</v>
      </c>
      <c r="F381" s="28" t="n">
        <f aca="false">3850*7.5</f>
        <v>28875</v>
      </c>
      <c r="G381" s="29" t="n">
        <v>2</v>
      </c>
      <c r="H381" s="30" t="n">
        <v>16500</v>
      </c>
    </row>
    <row r="382" s="31" customFormat="true" ht="13.8" hidden="false" customHeight="false" outlineLevel="0" collapsed="false">
      <c r="A382" s="25" t="n">
        <v>798</v>
      </c>
      <c r="B382" s="26" t="s">
        <v>279</v>
      </c>
      <c r="C382" s="26" t="s">
        <v>23</v>
      </c>
      <c r="D382" s="27" t="s">
        <v>85</v>
      </c>
      <c r="E382" s="26" t="n">
        <v>1986</v>
      </c>
      <c r="F382" s="28" t="n">
        <v>4680</v>
      </c>
      <c r="G382" s="29" t="n">
        <v>1</v>
      </c>
      <c r="H382" s="30" t="n">
        <v>200</v>
      </c>
    </row>
    <row r="383" s="31" customFormat="true" ht="13.8" hidden="false" customHeight="false" outlineLevel="0" collapsed="false">
      <c r="A383" s="25" t="n">
        <v>799</v>
      </c>
      <c r="B383" s="26" t="s">
        <v>279</v>
      </c>
      <c r="C383" s="26" t="s">
        <v>23</v>
      </c>
      <c r="D383" s="27" t="s">
        <v>86</v>
      </c>
      <c r="E383" s="26" t="n">
        <v>2013</v>
      </c>
      <c r="F383" s="28" t="n">
        <v>2050</v>
      </c>
      <c r="G383" s="29" t="n">
        <v>4</v>
      </c>
      <c r="H383" s="30" t="n">
        <v>840</v>
      </c>
    </row>
    <row r="384" s="31" customFormat="true" ht="13.8" hidden="false" customHeight="false" outlineLevel="0" collapsed="false">
      <c r="A384" s="32" t="n">
        <v>800</v>
      </c>
      <c r="B384" s="26" t="s">
        <v>279</v>
      </c>
      <c r="C384" s="26" t="s">
        <v>23</v>
      </c>
      <c r="D384" s="27" t="s">
        <v>295</v>
      </c>
      <c r="E384" s="26" t="n">
        <v>2013</v>
      </c>
      <c r="F384" s="28" t="n">
        <v>1960</v>
      </c>
      <c r="G384" s="29" t="n">
        <v>1</v>
      </c>
      <c r="H384" s="30" t="n">
        <v>200</v>
      </c>
    </row>
    <row r="385" s="31" customFormat="true" ht="13.8" hidden="false" customHeight="false" outlineLevel="0" collapsed="false">
      <c r="A385" s="35" t="n">
        <v>802</v>
      </c>
      <c r="B385" s="26" t="s">
        <v>296</v>
      </c>
      <c r="C385" s="26" t="s">
        <v>23</v>
      </c>
      <c r="D385" s="27" t="s">
        <v>297</v>
      </c>
      <c r="E385" s="26" t="n">
        <v>1986</v>
      </c>
      <c r="F385" s="28" t="n">
        <f aca="false">5750*7.5*1.25</f>
        <v>53906.25</v>
      </c>
      <c r="G385" s="29" t="n">
        <v>1</v>
      </c>
      <c r="H385" s="30" t="n">
        <v>2800</v>
      </c>
    </row>
    <row r="386" s="31" customFormat="true" ht="13.8" hidden="false" customHeight="false" outlineLevel="0" collapsed="false">
      <c r="A386" s="40" t="n">
        <v>805</v>
      </c>
      <c r="B386" s="26" t="s">
        <v>296</v>
      </c>
      <c r="C386" s="26" t="s">
        <v>23</v>
      </c>
      <c r="D386" s="27" t="s">
        <v>298</v>
      </c>
      <c r="E386" s="26" t="n">
        <v>1982</v>
      </c>
      <c r="F386" s="28" t="n">
        <f aca="false">7250*7.5*1.25</f>
        <v>67968.75</v>
      </c>
      <c r="G386" s="29" t="n">
        <v>1</v>
      </c>
      <c r="H386" s="30" t="n">
        <v>3250</v>
      </c>
    </row>
    <row r="387" s="31" customFormat="true" ht="13.8" hidden="false" customHeight="false" outlineLevel="0" collapsed="false">
      <c r="A387" s="38" t="n">
        <v>810</v>
      </c>
      <c r="B387" s="26" t="s">
        <v>299</v>
      </c>
      <c r="C387" s="26" t="s">
        <v>23</v>
      </c>
      <c r="D387" s="27" t="s">
        <v>300</v>
      </c>
      <c r="E387" s="26" t="n">
        <v>1959</v>
      </c>
      <c r="F387" s="28" t="n">
        <f aca="false">34000*7.5*1.3</f>
        <v>331500</v>
      </c>
      <c r="G387" s="29" t="n">
        <v>1</v>
      </c>
      <c r="H387" s="30" t="n">
        <v>8250</v>
      </c>
    </row>
    <row r="388" s="31" customFormat="true" ht="13.8" hidden="false" customHeight="false" outlineLevel="0" collapsed="false">
      <c r="A388" s="38" t="n">
        <v>811</v>
      </c>
      <c r="B388" s="26" t="s">
        <v>299</v>
      </c>
      <c r="C388" s="26" t="s">
        <v>23</v>
      </c>
      <c r="D388" s="27" t="s">
        <v>301</v>
      </c>
      <c r="E388" s="26" t="n">
        <v>1959</v>
      </c>
      <c r="F388" s="28" t="n">
        <f aca="false">412000*1.3</f>
        <v>535600</v>
      </c>
      <c r="G388" s="29" t="n">
        <v>1</v>
      </c>
      <c r="H388" s="30" t="n">
        <v>13700</v>
      </c>
    </row>
    <row r="389" s="31" customFormat="true" ht="13.8" hidden="false" customHeight="false" outlineLevel="0" collapsed="false">
      <c r="A389" s="38" t="n">
        <v>812</v>
      </c>
      <c r="B389" s="26" t="s">
        <v>299</v>
      </c>
      <c r="C389" s="26" t="s">
        <v>23</v>
      </c>
      <c r="D389" s="27" t="s">
        <v>302</v>
      </c>
      <c r="E389" s="26" t="n">
        <v>1970</v>
      </c>
      <c r="F389" s="28" t="n">
        <f aca="false">1000000*1.25</f>
        <v>1250000</v>
      </c>
      <c r="G389" s="29" t="n">
        <v>1</v>
      </c>
      <c r="H389" s="30" t="n">
        <v>45200</v>
      </c>
    </row>
    <row r="390" s="31" customFormat="true" ht="13.8" hidden="false" customHeight="false" outlineLevel="0" collapsed="false">
      <c r="A390" s="25" t="n">
        <v>813</v>
      </c>
      <c r="B390" s="26" t="s">
        <v>303</v>
      </c>
      <c r="C390" s="26" t="s">
        <v>23</v>
      </c>
      <c r="D390" s="27" t="s">
        <v>304</v>
      </c>
      <c r="E390" s="26" t="n">
        <v>1960</v>
      </c>
      <c r="F390" s="28" t="n">
        <f aca="false">22000*7.5*1.3</f>
        <v>214500</v>
      </c>
      <c r="G390" s="29" t="n">
        <v>1</v>
      </c>
      <c r="H390" s="39" t="s">
        <v>217</v>
      </c>
    </row>
    <row r="391" s="31" customFormat="true" ht="13.8" hidden="false" customHeight="false" outlineLevel="0" collapsed="false">
      <c r="A391" s="32" t="n">
        <v>814</v>
      </c>
      <c r="B391" s="26" t="s">
        <v>303</v>
      </c>
      <c r="C391" s="26" t="s">
        <v>23</v>
      </c>
      <c r="D391" s="27" t="s">
        <v>305</v>
      </c>
      <c r="E391" s="26" t="n">
        <v>1960</v>
      </c>
      <c r="F391" s="28" t="n">
        <f aca="false">31000*7.5*1.3</f>
        <v>302250</v>
      </c>
      <c r="G391" s="29" t="n">
        <v>1</v>
      </c>
      <c r="H391" s="39" t="s">
        <v>217</v>
      </c>
    </row>
    <row r="392" s="31" customFormat="true" ht="13.8" hidden="false" customHeight="false" outlineLevel="0" collapsed="false">
      <c r="A392" s="33" t="n">
        <v>817</v>
      </c>
      <c r="B392" s="41" t="s">
        <v>17</v>
      </c>
      <c r="C392" s="26" t="str">
        <f aca="false">"0661082"</f>
        <v>0661082</v>
      </c>
      <c r="D392" s="27" t="s">
        <v>306</v>
      </c>
      <c r="E392" s="26" t="n">
        <v>2010</v>
      </c>
      <c r="F392" s="42" t="n">
        <v>527.85</v>
      </c>
      <c r="G392" s="43" t="n">
        <v>1</v>
      </c>
      <c r="H392" s="44" t="n">
        <v>50</v>
      </c>
    </row>
    <row r="393" s="31" customFormat="true" ht="13.8" hidden="false" customHeight="false" outlineLevel="0" collapsed="false">
      <c r="A393" s="25" t="n">
        <v>818</v>
      </c>
      <c r="B393" s="41" t="s">
        <v>17</v>
      </c>
      <c r="C393" s="26" t="str">
        <f aca="false">"0622699"</f>
        <v>0622699</v>
      </c>
      <c r="D393" s="27" t="s">
        <v>307</v>
      </c>
      <c r="E393" s="26" t="n">
        <v>2008</v>
      </c>
      <c r="F393" s="42" t="n">
        <v>880</v>
      </c>
      <c r="G393" s="43" t="n">
        <v>1</v>
      </c>
      <c r="H393" s="44" t="n">
        <v>70</v>
      </c>
    </row>
    <row r="394" s="31" customFormat="true" ht="13.8" hidden="false" customHeight="false" outlineLevel="0" collapsed="false">
      <c r="A394" s="25" t="n">
        <v>819</v>
      </c>
      <c r="B394" s="41" t="s">
        <v>17</v>
      </c>
      <c r="C394" s="45" t="str">
        <f aca="false">"0903540"</f>
        <v>0903540</v>
      </c>
      <c r="D394" s="46" t="s">
        <v>308</v>
      </c>
      <c r="E394" s="45" t="n">
        <v>2016</v>
      </c>
      <c r="F394" s="47" t="n">
        <v>1875</v>
      </c>
      <c r="G394" s="48" t="n">
        <v>2</v>
      </c>
      <c r="H394" s="44" t="n">
        <v>1580</v>
      </c>
    </row>
    <row r="395" s="31" customFormat="true" ht="2.25" hidden="false" customHeight="true" outlineLevel="0" collapsed="false">
      <c r="A395" s="32"/>
      <c r="B395" s="49"/>
      <c r="C395" s="49"/>
      <c r="D395" s="50"/>
      <c r="E395" s="49"/>
      <c r="F395" s="51"/>
      <c r="G395" s="52"/>
      <c r="H395" s="53"/>
    </row>
    <row r="396" s="31" customFormat="true" ht="5.25" hidden="false" customHeight="true" outlineLevel="0" collapsed="false">
      <c r="A396" s="54"/>
      <c r="B396" s="55"/>
      <c r="C396" s="56"/>
      <c r="D396" s="57"/>
      <c r="E396" s="58"/>
      <c r="F396" s="59"/>
      <c r="G396" s="60"/>
      <c r="H396" s="61"/>
    </row>
    <row r="397" s="31" customFormat="true" ht="15.6" hidden="false" customHeight="false" outlineLevel="0" collapsed="false">
      <c r="G397" s="62" t="s">
        <v>309</v>
      </c>
      <c r="H397" s="63" t="n">
        <f aca="false">SUM(H6:H396)</f>
        <v>1370720</v>
      </c>
    </row>
    <row r="398" s="31" customFormat="true" ht="13.8" hidden="false" customHeight="false" outlineLevel="0" collapsed="false">
      <c r="D398" s="64" t="s">
        <v>310</v>
      </c>
      <c r="E398" s="64"/>
      <c r="F398" s="65" t="n">
        <v>7.5</v>
      </c>
      <c r="G398" s="66" t="s">
        <v>311</v>
      </c>
      <c r="H398" s="67" t="n">
        <f aca="false">H397/F398</f>
        <v>182762.666666667</v>
      </c>
    </row>
    <row r="399" s="31" customFormat="true" ht="14.4" hidden="false" customHeight="false" outlineLevel="0" collapsed="false">
      <c r="B399" s="68" t="s">
        <v>312</v>
      </c>
    </row>
    <row r="400" s="31" customFormat="true" ht="3" hidden="false" customHeight="true" outlineLevel="0" collapsed="false">
      <c r="B400" s="68"/>
    </row>
    <row r="401" s="31" customFormat="true" ht="13.8" hidden="false" customHeight="false" outlineLevel="0" collapsed="false">
      <c r="B401" s="69" t="s">
        <v>313</v>
      </c>
    </row>
    <row r="402" customFormat="false" ht="14.4" hidden="false" customHeight="false" outlineLevel="0" collapsed="false">
      <c r="B402" s="70" t="s">
        <v>314</v>
      </c>
    </row>
  </sheetData>
  <mergeCells count="1">
    <mergeCell ref="D398:E398"/>
  </mergeCells>
  <printOptions headings="false" gridLines="false" gridLinesSet="true" horizontalCentered="false" verticalCentered="false"/>
  <pageMargins left="0.629861111111111" right="0.196527777777778" top="0.790277777777778" bottom="0.432638888888889" header="0.275694444444444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&amp;C&amp;"Arial,Regular"&amp;12B.1&amp;11  NOVA Procjena vrijenosti dijela pokretnina ● PROIZVODNA SREDSTVA
&amp;10USGD d.d., u stečaju&amp;11 - Lokacija MID &amp;10(3.Maj), Rijeka, Liburnijska 3</oddHeader>
    <oddFooter>&amp;C&amp;"Arial,Regular"&amp;10&amp;P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2020-11-27T23:04:56Z</dcterms:created>
  <dc:creator>Vence</dc:creator>
  <dc:description/>
  <dc:language>hr-HR</dc:language>
  <cp:lastModifiedBy/>
  <dcterms:modified xsi:type="dcterms:W3CDTF">2021-12-07T12:04:31Z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